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12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3-2025" sheetId="12" r:id="rId12"/>
    <sheet name="Дотация 2023-2025 (2)" sheetId="13" r:id="rId13"/>
  </sheets>
  <definedNames>
    <definedName name="_xlnm.Print_Area" localSheetId="11">'Дотация 2023-2025'!$A$1:$H$18</definedName>
    <definedName name="_xlnm.Print_Area" localSheetId="12">'Дотация 2023-2025 (2)'!$A$1:$H$18</definedName>
    <definedName name="_xlnm.Print_Area" localSheetId="4">'ИБР'!$A$1:$R$19</definedName>
    <definedName name="_xlnm.Print_Area" localSheetId="2">'Коэф.дисп'!$A$1:$E$95</definedName>
    <definedName name="_xlnm.Print_Area" localSheetId="0">'Налоговый потен'!$A$1:$M$17</definedName>
  </definedNames>
  <calcPr fullCalcOnLoad="1"/>
</workbook>
</file>

<file path=xl/sharedStrings.xml><?xml version="1.0" encoding="utf-8"?>
<sst xmlns="http://schemas.openxmlformats.org/spreadsheetml/2006/main" count="441" uniqueCount="201">
  <si>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</si>
  <si>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</si>
  <si>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</si>
  <si>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</si>
  <si>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</si>
  <si>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</si>
  <si>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</si>
  <si>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</si>
  <si>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</si>
  <si>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</si>
  <si>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</si>
  <si>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</si>
  <si>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</si>
  <si>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</si>
  <si>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</si>
  <si>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</si>
  <si>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</si>
  <si>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</si>
  <si>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</si>
  <si>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</si>
  <si>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</si>
  <si>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</si>
  <si>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</si>
  <si>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</si>
  <si>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</si>
  <si>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</si>
  <si>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</si>
  <si>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</si>
  <si>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</si>
  <si>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</si>
  <si>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</si>
  <si>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</si>
  <si>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</si>
  <si>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</si>
  <si>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</si>
  <si>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</si>
  <si>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</si>
  <si>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</si>
  <si>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</si>
  <si>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</si>
  <si>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</si>
  <si>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</si>
  <si>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</si>
  <si>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</si>
  <si>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</si>
  <si>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</si>
  <si>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</si>
  <si>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</si>
  <si>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</si>
  <si>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</si>
  <si>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</si>
  <si>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</si>
  <si>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</si>
  <si>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</si>
  <si>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</si>
  <si>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</si>
  <si>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</si>
  <si>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</si>
  <si>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</si>
  <si>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</si>
  <si>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</si>
  <si>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</si>
  <si>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</si>
  <si>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</si>
  <si>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</si>
  <si>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</si>
  <si>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ЖКХ</t>
  </si>
  <si>
    <t>Коэффициент масштаба</t>
  </si>
  <si>
    <t>ВСЕГО по району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</si>
  <si>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</si>
  <si>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</si>
  <si>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</si>
  <si>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</si>
  <si>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</si>
  <si>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</si>
  <si>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</si>
  <si>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</si>
  <si>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</si>
  <si>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</si>
  <si>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</si>
  <si>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</si>
  <si>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</si>
  <si>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</si>
  <si>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</si>
  <si>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</si>
  <si>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</si>
  <si>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</si>
  <si>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</si>
  <si>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</si>
  <si>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</si>
  <si>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</si>
  <si>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</si>
  <si>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</si>
  <si>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</si>
  <si>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</si>
  <si>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</si>
  <si>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</si>
  <si>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</si>
  <si>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</si>
  <si>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</si>
  <si>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</si>
  <si>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</si>
  <si>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</si>
  <si>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</si>
  <si>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 учетом налогового потенциала и  субвенций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</si>
  <si>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</si>
  <si>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</si>
  <si>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</si>
  <si>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</si>
  <si>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</si>
  <si>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У2</t>
  </si>
  <si>
    <t>с учетом налогового потенциала, первой, второй части дотации и субвенций</t>
  </si>
  <si>
    <t>Прогноз налоговых, неналоговых доходов, субвенций, 1 части дотации ПДпмр</t>
  </si>
  <si>
    <t>Всего дотации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</si>
  <si>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</si>
  <si>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</si>
  <si>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2018г.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</si>
  <si>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</si>
  <si>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</si>
  <si>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</si>
  <si>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</si>
  <si>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</si>
  <si>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</si>
  <si>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</si>
  <si>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</si>
  <si>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Всего за 3 года</t>
  </si>
  <si>
    <t>Средняя за 3 года</t>
  </si>
  <si>
    <t>степень отставания 0,1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</si>
  <si>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</si>
  <si>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</si>
  <si>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</si>
  <si>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</si>
  <si>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</si>
  <si>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</si>
  <si>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Содержание пожарных депо</t>
  </si>
  <si>
    <t>Итого расходов</t>
  </si>
  <si>
    <t>2020 год</t>
  </si>
  <si>
    <t>2021 год</t>
  </si>
  <si>
    <t>2019 год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</si>
  <si>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</si>
  <si>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</si>
  <si>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</si>
  <si>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</si>
  <si>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</si>
  <si>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</si>
  <si>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</si>
  <si>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</si>
  <si>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</si>
  <si>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</si>
  <si>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</si>
  <si>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</si>
  <si>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</si>
  <si>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</si>
  <si>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</si>
  <si>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№ п/п</t>
  </si>
  <si>
    <t>тыс.руб.</t>
  </si>
  <si>
    <t>Расходы, тыс.руб.</t>
  </si>
  <si>
    <t>Сумма дотации из субвенций на 2023 год (тыс.руб.)</t>
  </si>
  <si>
    <t>Земельный налог</t>
  </si>
  <si>
    <t>Тыс.руб.</t>
  </si>
  <si>
    <t>2023 год</t>
  </si>
  <si>
    <t>Сумма дотации из субвенций на 2024 год (тыс.руб.)</t>
  </si>
  <si>
    <t>2022г.</t>
  </si>
  <si>
    <t>2024 год</t>
  </si>
  <si>
    <t>СВОД Фактические расходы бюджета за счет собственных средств (без субвенций, субсидий и межбюджетных трансфертов)</t>
  </si>
  <si>
    <t>Расчет коэффициента масштаба по поселениям, расположенным на территории муниципального образования «Мелекесский район» Ульяновской области на 2023 год</t>
  </si>
  <si>
    <t>Расчет коэффициента дисперсности по поселениям, расположенным на территории муниципального образования «Мелекесский район» Ульяновской области на 2023 год</t>
  </si>
  <si>
    <t>Количество жителей на 01.01.2022г.</t>
  </si>
  <si>
    <t>Определение доли расходов на 2023 год исходя из фактического расхода без субвенций и субсидий</t>
  </si>
  <si>
    <t xml:space="preserve">Уровень расчетной бюджетной обеспеченности поселений, расположенных на территории муниципального образования «Мелекесский район» Ульяновской области на 2023 год </t>
  </si>
  <si>
    <t xml:space="preserve">Расчет индекса бюджетных расходов поселений, расположенных на территории муниципального образования «Мелекесский район» Ульяновской области на 2023 год </t>
  </si>
  <si>
    <t>Расчет доходного потенциала поселений, расположенных на территории муниципального образования «Мелекесский район» Ульяновской области на 2023 год</t>
  </si>
  <si>
    <t>Расчет индекса доходного потенциала поселений, расположенных на территории муниципального образования «Мелекесский район» Ульяновской области на 2023 год</t>
  </si>
  <si>
    <t>Расчет дотации из районного фонда финансовой поддержки поселений за счет субвенций из областного фонда компенсаций на 2023-2025 годы</t>
  </si>
  <si>
    <t>Сумма дотации из субвенций на 2025 год (тыс.руб.)</t>
  </si>
  <si>
    <t>Расчет дотации из фонда финансовой поддержки поселений, расположенных на территории муниципального образования «Мелекесский район» Ульяновской области на 2023 год</t>
  </si>
  <si>
    <t>Налоговый потенциал на 2023г.</t>
  </si>
  <si>
    <t>Прогноз собственных доходов на 2023г.</t>
  </si>
  <si>
    <t>Дотация из районного фонда финансовой поддержки поселений, расположенных на территории муниципального образования «Мелекесский район» Ульяновской области на 2023 год</t>
  </si>
  <si>
    <t>2023г.</t>
  </si>
  <si>
    <t>РФФПП 2023г.</t>
  </si>
  <si>
    <t>2025 год</t>
  </si>
  <si>
    <t>Всего дотации из местного бюджета на 2023г.</t>
  </si>
  <si>
    <t>Всего дотации из областного и местного бюджетов на 2023г.</t>
  </si>
  <si>
    <t xml:space="preserve">НДФЛ план на 01.10.2022г </t>
  </si>
  <si>
    <t>Зем налог план на 01.10.2022</t>
  </si>
  <si>
    <t>НП ндфл на 2023г (=ПДпосел конс*Норм*(Бнпос/Бнконс пос)</t>
  </si>
  <si>
    <t>НП зем налог на 2023г</t>
  </si>
  <si>
    <t>План на 01.10.2022</t>
  </si>
  <si>
    <t>НП на 2023г</t>
  </si>
  <si>
    <t>ВСЕГО НП на 2023г</t>
  </si>
  <si>
    <t>Прогнозные показатели дотации на выравнивание бюджетной обеспеченности поселений Мелекесского района на 2023-2025 годы</t>
  </si>
  <si>
    <r>
      <t>ИБР ((гр3*гр4/гр3)/(гр3мр*гр4мр/гр3мр))*</t>
    </r>
    <r>
      <rPr>
        <b/>
        <sz val="10"/>
        <color indexed="10"/>
        <rFont val="PT Astra Serif"/>
        <family val="1"/>
      </rPr>
      <t>26,2</t>
    </r>
    <r>
      <rPr>
        <b/>
        <sz val="10"/>
        <rFont val="PT Astra Serif"/>
        <family val="1"/>
      </rPr>
      <t>/100</t>
    </r>
  </si>
  <si>
    <r>
      <t xml:space="preserve">ИБР (на </t>
    </r>
    <r>
      <rPr>
        <b/>
        <sz val="10"/>
        <color indexed="10"/>
        <rFont val="PT Astra Serif"/>
        <family val="1"/>
      </rPr>
      <t>15,0</t>
    </r>
    <r>
      <rPr>
        <b/>
        <sz val="10"/>
        <rFont val="PT Astra Serif"/>
        <family val="1"/>
      </rPr>
      <t xml:space="preserve"> %)</t>
    </r>
  </si>
  <si>
    <r>
      <t>ИБР (гр6*гр7*гр8/гр6)/(гр6мр*гр7мр*гр8мр/г6мр))* *</t>
    </r>
    <r>
      <rPr>
        <b/>
        <sz val="10"/>
        <color indexed="10"/>
        <rFont val="PT Astra Serif"/>
        <family val="1"/>
      </rPr>
      <t>11,3</t>
    </r>
    <r>
      <rPr>
        <b/>
        <sz val="10"/>
        <rFont val="PT Astra Serif"/>
        <family val="1"/>
      </rPr>
      <t>/100</t>
    </r>
  </si>
  <si>
    <r>
      <t>ИБР (</t>
    </r>
    <r>
      <rPr>
        <b/>
        <sz val="10"/>
        <color indexed="10"/>
        <rFont val="PT Astra Serif"/>
        <family val="1"/>
      </rPr>
      <t>47,4</t>
    </r>
    <r>
      <rPr>
        <b/>
        <sz val="10"/>
        <rFont val="PT Astra Serif"/>
        <family val="1"/>
      </rPr>
      <t>%)</t>
    </r>
  </si>
  <si>
    <t>Расчет налогового потенциала поселений, расположенных на территории муниципального образования «Мелекесский район» Ульяновской области на 2023 год</t>
  </si>
  <si>
    <t>Начальник Финансового управления</t>
  </si>
  <si>
    <t>С.В.Сысуева</t>
  </si>
  <si>
    <t>Трифонова Светлана Николаевна</t>
  </si>
  <si>
    <t>2-69-16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</si>
</sst>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  <numFmt numFmtId="185" formatCode="0.00000000000000"/>
    <numFmt numFmtId="186" formatCode="#,##0.0000000000000"/>
    <numFmt numFmtId="187" formatCode="#,##0.00000"/>
    <numFmt numFmtId="188" formatCode="0.00000000000"/>
    <numFmt numFmtId="189" formatCode="0.0000000000000"/>
    <numFmt numFmtId="190" formatCode="#,##0.00000000000"/>
    <numFmt numFmtId="191" formatCode="0.00000"/>
    <numFmt numFmtId="192" formatCode="#,##0.000000000000"/>
    <numFmt numFmtId="193" formatCode="#,##0.000000"/>
    <numFmt numFmtId="194" formatCode="#,##0.00000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i/>
      <u val="single"/>
      <sz val="10"/>
      <name val="PT Astra Serif"/>
      <family val="1"/>
    </font>
    <font>
      <b/>
      <sz val="10"/>
      <color indexed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PT Astra Serif"/>
      <family val="1"/>
    </font>
    <font>
      <sz val="10"/>
      <color indexed="8"/>
      <name val="PT Astra Serif"/>
      <family val="1"/>
    </font>
    <font>
      <sz val="10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PT Astra Serif"/>
      <family val="1"/>
    </font>
    <font>
      <sz val="10"/>
      <color rgb="FF000000"/>
      <name val="PT Astra Serif"/>
      <family val="1"/>
    </font>
    <font>
      <sz val="10"/>
      <color rgb="FFFF0000"/>
      <name val="PT Astra Serif"/>
      <family val="1"/>
    </font>
    <font>
      <sz val="10"/>
      <color theme="1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84" fontId="6" fillId="33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/>
    </xf>
    <xf numFmtId="184" fontId="6" fillId="35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7" fillId="34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6" borderId="10" xfId="0" applyNumberFormat="1" applyFont="1" applyFill="1" applyBorder="1" applyAlignment="1">
      <alignment/>
    </xf>
    <xf numFmtId="184" fontId="5" fillId="33" borderId="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8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6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84" fontId="5" fillId="36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1" fontId="6" fillId="33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84" fontId="6" fillId="33" borderId="0" xfId="0" applyNumberFormat="1" applyFont="1" applyFill="1" applyAlignment="1">
      <alignment/>
    </xf>
    <xf numFmtId="184" fontId="49" fillId="3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4" fontId="5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173" fontId="6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17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172" fontId="8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17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wrapText="1"/>
    </xf>
    <xf numFmtId="17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wrapText="1"/>
    </xf>
    <xf numFmtId="187" fontId="6" fillId="0" borderId="0" xfId="0" applyNumberFormat="1" applyFont="1" applyAlignment="1">
      <alignment/>
    </xf>
    <xf numFmtId="187" fontId="5" fillId="0" borderId="11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190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5" fillId="8" borderId="10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3" fontId="6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9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173" fontId="5" fillId="33" borderId="16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187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84" fontId="5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wrapText="1"/>
    </xf>
    <xf numFmtId="184" fontId="6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6" fillId="33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184" fontId="5" fillId="8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wrapText="1"/>
    </xf>
    <xf numFmtId="184" fontId="5" fillId="0" borderId="10" xfId="0" applyNumberFormat="1" applyFont="1" applyBorder="1" applyAlignment="1">
      <alignment wrapText="1"/>
    </xf>
    <xf numFmtId="187" fontId="6" fillId="0" borderId="0" xfId="0" applyNumberFormat="1" applyFont="1" applyAlignment="1">
      <alignment wrapText="1"/>
    </xf>
    <xf numFmtId="184" fontId="6" fillId="0" borderId="0" xfId="0" applyNumberFormat="1" applyFont="1" applyAlignment="1">
      <alignment/>
    </xf>
    <xf numFmtId="184" fontId="51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4" fontId="52" fillId="0" borderId="10" xfId="0" applyNumberFormat="1" applyFont="1" applyFill="1" applyBorder="1" applyAlignment="1">
      <alignment/>
    </xf>
    <xf numFmtId="184" fontId="5" fillId="35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184" fontId="5" fillId="33" borderId="16" xfId="0" applyNumberFormat="1" applyFont="1" applyFill="1" applyBorder="1" applyAlignment="1">
      <alignment/>
    </xf>
    <xf numFmtId="184" fontId="5" fillId="33" borderId="17" xfId="0" applyNumberFormat="1" applyFont="1" applyFill="1" applyBorder="1" applyAlignment="1">
      <alignment/>
    </xf>
    <xf numFmtId="184" fontId="5" fillId="35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4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 vertical="top" wrapText="1"/>
    </xf>
    <xf numFmtId="184" fontId="5" fillId="33" borderId="17" xfId="0" applyNumberFormat="1" applyFont="1" applyFill="1" applyBorder="1" applyAlignment="1">
      <alignment horizontal="center" vertical="top" wrapText="1"/>
    </xf>
    <xf numFmtId="184" fontId="5" fillId="33" borderId="18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7" xfId="0" applyNumberFormat="1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73" fontId="5" fillId="33" borderId="10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84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875" style="26" customWidth="1"/>
    <col min="2" max="2" width="23.25390625" style="26" customWidth="1"/>
    <col min="3" max="13" width="12.00390625" style="26" customWidth="1"/>
    <col min="14" max="16384" width="9.125" style="26" customWidth="1"/>
  </cols>
  <sheetData>
    <row r="1" spans="12:13" ht="15.75">
      <c r="L1" s="33"/>
      <c r="M1" s="33" t="s">
        <v>139</v>
      </c>
    </row>
    <row r="2" ht="23.25" customHeight="1"/>
    <row r="3" spans="1:13" ht="38.25" customHeight="1">
      <c r="A3" s="34"/>
      <c r="B3" s="225" t="s">
        <v>196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4"/>
    </row>
    <row r="4" ht="30" customHeight="1">
      <c r="M4" s="26" t="s">
        <v>159</v>
      </c>
    </row>
    <row r="5" spans="1:13" s="28" customFormat="1" ht="12.75">
      <c r="A5" s="227" t="s">
        <v>0</v>
      </c>
      <c r="B5" s="230" t="s">
        <v>1</v>
      </c>
      <c r="C5" s="227" t="s">
        <v>87</v>
      </c>
      <c r="D5" s="227"/>
      <c r="E5" s="227"/>
      <c r="F5" s="227"/>
      <c r="G5" s="227" t="s">
        <v>158</v>
      </c>
      <c r="H5" s="227"/>
      <c r="I5" s="227"/>
      <c r="J5" s="227" t="s">
        <v>88</v>
      </c>
      <c r="K5" s="227"/>
      <c r="L5" s="227"/>
      <c r="M5" s="228" t="s">
        <v>190</v>
      </c>
    </row>
    <row r="6" spans="1:13" s="28" customFormat="1" ht="88.5" customHeight="1">
      <c r="A6" s="227"/>
      <c r="B6" s="231"/>
      <c r="C6" s="18" t="s">
        <v>184</v>
      </c>
      <c r="D6" s="18" t="s">
        <v>115</v>
      </c>
      <c r="E6" s="18" t="s">
        <v>89</v>
      </c>
      <c r="F6" s="18" t="s">
        <v>186</v>
      </c>
      <c r="G6" s="18" t="s">
        <v>185</v>
      </c>
      <c r="H6" s="18" t="s">
        <v>89</v>
      </c>
      <c r="I6" s="18" t="s">
        <v>187</v>
      </c>
      <c r="J6" s="29" t="s">
        <v>188</v>
      </c>
      <c r="K6" s="18" t="s">
        <v>89</v>
      </c>
      <c r="L6" s="29" t="s">
        <v>189</v>
      </c>
      <c r="M6" s="228"/>
    </row>
    <row r="7" spans="1:13" ht="25.5" customHeight="1">
      <c r="A7" s="30">
        <v>1</v>
      </c>
      <c r="B7" s="31" t="s">
        <v>117</v>
      </c>
      <c r="C7" s="4">
        <v>7100</v>
      </c>
      <c r="D7" s="35">
        <v>15</v>
      </c>
      <c r="E7" s="35">
        <f>C7/C15</f>
        <v>0.3156958648288128</v>
      </c>
      <c r="F7" s="4">
        <f>F15*E7</f>
        <v>8048.666073810582</v>
      </c>
      <c r="G7" s="4">
        <v>3200</v>
      </c>
      <c r="H7" s="35">
        <f>G7/G15</f>
        <v>0.1095890410958904</v>
      </c>
      <c r="I7" s="4">
        <f>I15*H7</f>
        <v>3506.849315068493</v>
      </c>
      <c r="J7" s="4">
        <v>1140</v>
      </c>
      <c r="K7" s="35">
        <f>J7/J15</f>
        <v>0.23505154639175257</v>
      </c>
      <c r="L7" s="4">
        <f>L15*K7</f>
        <v>1187.0103092783504</v>
      </c>
      <c r="M7" s="10">
        <f>+F7+I7+L7</f>
        <v>12742.525698157426</v>
      </c>
    </row>
    <row r="8" spans="1:13" ht="25.5" customHeight="1">
      <c r="A8" s="30">
        <v>2</v>
      </c>
      <c r="B8" s="31" t="s">
        <v>118</v>
      </c>
      <c r="C8" s="4">
        <v>5100</v>
      </c>
      <c r="D8" s="35">
        <v>15</v>
      </c>
      <c r="E8" s="35">
        <f>C8/C15</f>
        <v>0.22676745220097821</v>
      </c>
      <c r="F8" s="4">
        <f>F15*E8</f>
        <v>5781.4361938639395</v>
      </c>
      <c r="G8" s="4">
        <v>2200</v>
      </c>
      <c r="H8" s="35">
        <f>G8/G15</f>
        <v>0.07534246575342465</v>
      </c>
      <c r="I8" s="4">
        <f>I15*H8</f>
        <v>2410.9589041095887</v>
      </c>
      <c r="J8" s="4">
        <v>950</v>
      </c>
      <c r="K8" s="35">
        <f>J8/J15</f>
        <v>0.1958762886597938</v>
      </c>
      <c r="L8" s="4">
        <f>L15*K8</f>
        <v>989.1752577319587</v>
      </c>
      <c r="M8" s="10">
        <f aca="true" t="shared" si="0" ref="M8:M14">+F8+I8+L8</f>
        <v>9181.570355705486</v>
      </c>
    </row>
    <row r="9" spans="1:13" ht="25.5" customHeight="1">
      <c r="A9" s="30">
        <v>3</v>
      </c>
      <c r="B9" s="31" t="s">
        <v>119</v>
      </c>
      <c r="C9" s="4">
        <v>1000</v>
      </c>
      <c r="D9" s="35">
        <v>7</v>
      </c>
      <c r="E9" s="35">
        <f>C9/C15</f>
        <v>0.044464206313917294</v>
      </c>
      <c r="F9" s="4">
        <f>F15*E9</f>
        <v>1133.6149399733215</v>
      </c>
      <c r="G9" s="4">
        <v>3350</v>
      </c>
      <c r="H9" s="35">
        <f>G9/G15</f>
        <v>0.11472602739726027</v>
      </c>
      <c r="I9" s="4">
        <f>I15*H9</f>
        <v>3671.2328767123286</v>
      </c>
      <c r="J9" s="4">
        <v>610</v>
      </c>
      <c r="K9" s="35">
        <f>J9/J15</f>
        <v>0.12577319587628866</v>
      </c>
      <c r="L9" s="4">
        <f>L15*K9</f>
        <v>635.1546391752577</v>
      </c>
      <c r="M9" s="10">
        <f t="shared" si="0"/>
        <v>5440.0024558609075</v>
      </c>
    </row>
    <row r="10" spans="1:13" ht="25.5" customHeight="1">
      <c r="A10" s="30">
        <v>4</v>
      </c>
      <c r="B10" s="31" t="s">
        <v>120</v>
      </c>
      <c r="C10" s="4">
        <v>780</v>
      </c>
      <c r="D10" s="35">
        <v>7</v>
      </c>
      <c r="E10" s="35">
        <f>C10/C15</f>
        <v>0.03468208092485549</v>
      </c>
      <c r="F10" s="4">
        <f>F15*E10</f>
        <v>884.2196531791907</v>
      </c>
      <c r="G10" s="4">
        <v>2000</v>
      </c>
      <c r="H10" s="35">
        <f>G10/G15</f>
        <v>0.0684931506849315</v>
      </c>
      <c r="I10" s="4">
        <f>I15*H10</f>
        <v>2191.780821917808</v>
      </c>
      <c r="J10" s="4">
        <v>250</v>
      </c>
      <c r="K10" s="35">
        <f>J10/J15</f>
        <v>0.05154639175257732</v>
      </c>
      <c r="L10" s="4">
        <f>L15*K10</f>
        <v>260.30927835051546</v>
      </c>
      <c r="M10" s="10">
        <f t="shared" si="0"/>
        <v>3336.309753447514</v>
      </c>
    </row>
    <row r="11" spans="1:13" ht="25.5" customHeight="1">
      <c r="A11" s="30">
        <v>5</v>
      </c>
      <c r="B11" s="31" t="s">
        <v>121</v>
      </c>
      <c r="C11" s="4">
        <v>1700</v>
      </c>
      <c r="D11" s="35">
        <v>7</v>
      </c>
      <c r="E11" s="35">
        <f>C11/C15</f>
        <v>0.0755891507336594</v>
      </c>
      <c r="F11" s="4">
        <f>F15*E11</f>
        <v>1927.1453979546466</v>
      </c>
      <c r="G11" s="4">
        <v>4400</v>
      </c>
      <c r="H11" s="35">
        <f>G11/G15</f>
        <v>0.1506849315068493</v>
      </c>
      <c r="I11" s="4">
        <f>I15*H11</f>
        <v>4821.9178082191775</v>
      </c>
      <c r="J11" s="4">
        <v>570</v>
      </c>
      <c r="K11" s="35">
        <f>J11/J15</f>
        <v>0.11752577319587629</v>
      </c>
      <c r="L11" s="4">
        <f>L15*K11</f>
        <v>593.5051546391752</v>
      </c>
      <c r="M11" s="10">
        <f t="shared" si="0"/>
        <v>7342.568360812999</v>
      </c>
    </row>
    <row r="12" spans="1:13" ht="25.5" customHeight="1">
      <c r="A12" s="30">
        <v>6</v>
      </c>
      <c r="B12" s="31" t="s">
        <v>122</v>
      </c>
      <c r="C12" s="4">
        <v>2800</v>
      </c>
      <c r="D12" s="35">
        <v>7</v>
      </c>
      <c r="E12" s="35">
        <f>C12/C15</f>
        <v>0.12449977767896843</v>
      </c>
      <c r="F12" s="4">
        <f>F15*E12</f>
        <v>3174.1218319253003</v>
      </c>
      <c r="G12" s="4">
        <v>8300</v>
      </c>
      <c r="H12" s="35">
        <f>G12/G15</f>
        <v>0.2842465753424658</v>
      </c>
      <c r="I12" s="4">
        <f>I15*H12</f>
        <v>9095.890410958906</v>
      </c>
      <c r="J12" s="4">
        <v>620</v>
      </c>
      <c r="K12" s="35">
        <f>J12/J15</f>
        <v>0.12783505154639174</v>
      </c>
      <c r="L12" s="4">
        <f>L15*K12</f>
        <v>645.5670103092783</v>
      </c>
      <c r="M12" s="10">
        <f t="shared" si="0"/>
        <v>12915.579253193484</v>
      </c>
    </row>
    <row r="13" spans="1:13" ht="25.5" customHeight="1">
      <c r="A13" s="30">
        <v>7</v>
      </c>
      <c r="B13" s="31" t="s">
        <v>123</v>
      </c>
      <c r="C13" s="4">
        <v>560</v>
      </c>
      <c r="D13" s="35">
        <v>7</v>
      </c>
      <c r="E13" s="35">
        <f>C13/C15</f>
        <v>0.024899955535793685</v>
      </c>
      <c r="F13" s="4">
        <f>F15*E13</f>
        <v>634.82436638506</v>
      </c>
      <c r="G13" s="4">
        <v>1850</v>
      </c>
      <c r="H13" s="35">
        <f>G13/G15</f>
        <v>0.06335616438356165</v>
      </c>
      <c r="I13" s="4">
        <f>I15*H13</f>
        <v>2027.3972602739727</v>
      </c>
      <c r="J13" s="4">
        <v>230</v>
      </c>
      <c r="K13" s="35">
        <f>J13/J15</f>
        <v>0.04742268041237113</v>
      </c>
      <c r="L13" s="4">
        <f>L15*K13</f>
        <v>239.48453608247422</v>
      </c>
      <c r="M13" s="10">
        <f t="shared" si="0"/>
        <v>2901.706162741507</v>
      </c>
    </row>
    <row r="14" spans="1:13" ht="25.5" customHeight="1">
      <c r="A14" s="30">
        <v>8</v>
      </c>
      <c r="B14" s="31" t="s">
        <v>124</v>
      </c>
      <c r="C14" s="4">
        <v>3450</v>
      </c>
      <c r="D14" s="35">
        <v>7</v>
      </c>
      <c r="E14" s="35">
        <f>C14/C15</f>
        <v>0.15340151178301467</v>
      </c>
      <c r="F14" s="4">
        <f>F15*E14</f>
        <v>3910.9715429079592</v>
      </c>
      <c r="G14" s="4">
        <v>3900</v>
      </c>
      <c r="H14" s="35">
        <f>G14/G15</f>
        <v>0.13356164383561644</v>
      </c>
      <c r="I14" s="4">
        <f>I15*H14</f>
        <v>4273.972602739726</v>
      </c>
      <c r="J14" s="4">
        <v>480</v>
      </c>
      <c r="K14" s="35">
        <f>J14/J15</f>
        <v>0.09896907216494845</v>
      </c>
      <c r="L14" s="4">
        <f>L15*K14</f>
        <v>499.7938144329897</v>
      </c>
      <c r="M14" s="10">
        <f t="shared" si="0"/>
        <v>8684.737960080674</v>
      </c>
    </row>
    <row r="15" spans="1:13" ht="25.5" customHeight="1">
      <c r="A15" s="30"/>
      <c r="B15" s="3" t="s">
        <v>14</v>
      </c>
      <c r="C15" s="10">
        <f>SUM(C7:C14)</f>
        <v>22490</v>
      </c>
      <c r="D15" s="36"/>
      <c r="E15" s="36">
        <f>E7+E8+E9+E10+E11+E12+E13+E14</f>
        <v>1</v>
      </c>
      <c r="F15" s="10">
        <v>25495</v>
      </c>
      <c r="G15" s="10">
        <f>SUM(G7:G14)</f>
        <v>29200</v>
      </c>
      <c r="H15" s="36">
        <f>SUM(H7:H14)</f>
        <v>0.9999999999999999</v>
      </c>
      <c r="I15" s="10">
        <v>32000</v>
      </c>
      <c r="J15" s="10">
        <f>SUM(J7:J14)</f>
        <v>4850</v>
      </c>
      <c r="K15" s="36">
        <f>SUM(K7:K14)</f>
        <v>1.0000000000000002</v>
      </c>
      <c r="L15" s="10">
        <v>5050</v>
      </c>
      <c r="M15" s="10">
        <f>SUM(M7:M14)</f>
        <v>62545</v>
      </c>
    </row>
    <row r="16" spans="9:13" ht="12.75">
      <c r="I16" s="27"/>
      <c r="M16" s="27"/>
    </row>
    <row r="17" spans="1:13" ht="17.25" customHeight="1">
      <c r="A17" s="226"/>
      <c r="B17" s="226"/>
      <c r="C17" s="226"/>
      <c r="D17" s="32"/>
      <c r="E17" s="229"/>
      <c r="F17" s="229"/>
      <c r="G17" s="229"/>
      <c r="K17" s="229"/>
      <c r="L17" s="229"/>
      <c r="M17" s="229"/>
    </row>
  </sheetData>
  <sheetProtection/>
  <mergeCells count="10">
    <mergeCell ref="B3:L3"/>
    <mergeCell ref="A17:C17"/>
    <mergeCell ref="J5:L5"/>
    <mergeCell ref="M5:M6"/>
    <mergeCell ref="E17:G17"/>
    <mergeCell ref="K17:M17"/>
    <mergeCell ref="A5:A6"/>
    <mergeCell ref="B5:B6"/>
    <mergeCell ref="C5:F5"/>
    <mergeCell ref="G5:I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"/>
  <sheetViews>
    <sheetView zoomScale="90" zoomScaleNormal="90" zoomScaleSheetLayoutView="100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3" sqref="N13"/>
    </sheetView>
  </sheetViews>
  <sheetFormatPr defaultColWidth="9.00390625" defaultRowHeight="12.75"/>
  <cols>
    <col min="1" max="1" width="3.625" style="37" customWidth="1"/>
    <col min="2" max="2" width="19.00390625" style="37" customWidth="1"/>
    <col min="3" max="3" width="12.25390625" style="37" customWidth="1"/>
    <col min="4" max="4" width="12.375" style="37" customWidth="1"/>
    <col min="5" max="5" width="12.75390625" style="74" customWidth="1"/>
    <col min="6" max="6" width="12.375" style="165" customWidth="1"/>
    <col min="7" max="7" width="12.00390625" style="127" customWidth="1"/>
    <col min="8" max="8" width="10.875" style="127" customWidth="1"/>
    <col min="9" max="9" width="16.125" style="37" customWidth="1"/>
    <col min="10" max="10" width="16.75390625" style="166" customWidth="1"/>
    <col min="11" max="11" width="11.125" style="102" customWidth="1"/>
    <col min="12" max="12" width="13.375" style="102" customWidth="1"/>
    <col min="13" max="13" width="16.75390625" style="102" customWidth="1"/>
    <col min="14" max="14" width="13.875" style="102" customWidth="1"/>
    <col min="15" max="15" width="16.75390625" style="167" bestFit="1" customWidth="1"/>
    <col min="16" max="16" width="12.75390625" style="168" customWidth="1"/>
    <col min="17" max="17" width="9.125" style="37" customWidth="1"/>
    <col min="18" max="18" width="10.875" style="37" bestFit="1" customWidth="1"/>
    <col min="19" max="16384" width="9.125" style="37" customWidth="1"/>
  </cols>
  <sheetData>
    <row r="1" spans="5:16" s="15" customFormat="1" ht="15.75">
      <c r="E1" s="106"/>
      <c r="F1" s="178"/>
      <c r="G1" s="138"/>
      <c r="H1" s="138"/>
      <c r="J1" s="179"/>
      <c r="K1" s="134"/>
      <c r="L1" s="134"/>
      <c r="M1" s="134"/>
      <c r="N1" s="134"/>
      <c r="O1" s="180"/>
      <c r="P1" s="134" t="s">
        <v>148</v>
      </c>
    </row>
    <row r="2" spans="1:16" s="15" customFormat="1" ht="68.25" customHeight="1">
      <c r="A2" s="249" t="s">
        <v>175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ht="13.5" customHeight="1">
      <c r="O3" s="165"/>
    </row>
    <row r="4" spans="1:16" s="50" customFormat="1" ht="186" customHeight="1">
      <c r="A4" s="49" t="s">
        <v>0</v>
      </c>
      <c r="B4" s="49" t="s">
        <v>1</v>
      </c>
      <c r="C4" s="141" t="s">
        <v>12</v>
      </c>
      <c r="D4" s="141" t="s">
        <v>176</v>
      </c>
      <c r="E4" s="156" t="s">
        <v>177</v>
      </c>
      <c r="F4" s="169" t="s">
        <v>85</v>
      </c>
      <c r="G4" s="149" t="s">
        <v>82</v>
      </c>
      <c r="H4" s="149" t="s">
        <v>97</v>
      </c>
      <c r="I4" s="49" t="s">
        <v>106</v>
      </c>
      <c r="J4" s="109" t="s">
        <v>92</v>
      </c>
      <c r="K4" s="117" t="s">
        <v>109</v>
      </c>
      <c r="L4" s="149" t="s">
        <v>112</v>
      </c>
      <c r="M4" s="49" t="s">
        <v>98</v>
      </c>
      <c r="N4" s="52" t="s">
        <v>102</v>
      </c>
      <c r="O4" s="169" t="s">
        <v>182</v>
      </c>
      <c r="P4" s="170" t="s">
        <v>183</v>
      </c>
    </row>
    <row r="5" spans="1:16" ht="12.75">
      <c r="A5" s="85">
        <v>1</v>
      </c>
      <c r="B5" s="85">
        <v>2</v>
      </c>
      <c r="C5" s="85">
        <v>3</v>
      </c>
      <c r="D5" s="85"/>
      <c r="E5" s="176">
        <v>4</v>
      </c>
      <c r="F5" s="177" t="s">
        <v>86</v>
      </c>
      <c r="G5" s="176">
        <v>5</v>
      </c>
      <c r="H5" s="176">
        <v>6</v>
      </c>
      <c r="I5" s="85">
        <v>7</v>
      </c>
      <c r="J5" s="86">
        <v>8</v>
      </c>
      <c r="K5" s="87">
        <v>9</v>
      </c>
      <c r="L5" s="87">
        <v>10</v>
      </c>
      <c r="M5" s="87">
        <v>11</v>
      </c>
      <c r="N5" s="87">
        <v>12</v>
      </c>
      <c r="O5" s="171">
        <v>13</v>
      </c>
      <c r="P5" s="121">
        <v>14</v>
      </c>
    </row>
    <row r="6" spans="1:19" ht="24.75" customHeight="1">
      <c r="A6" s="40">
        <v>1</v>
      </c>
      <c r="B6" s="41" t="s">
        <v>117</v>
      </c>
      <c r="C6" s="181">
        <f>+'Коэф.масшт.'!C5</f>
        <v>6095</v>
      </c>
      <c r="D6" s="201">
        <f>+'Налоговый потен'!M7</f>
        <v>12742.525698157426</v>
      </c>
      <c r="E6" s="202">
        <v>19218.9</v>
      </c>
      <c r="F6" s="203">
        <f>'субв от числ уточ'!D6</f>
        <v>2601.9235160982353</v>
      </c>
      <c r="G6" s="150">
        <f>+ИБР!R7</f>
        <v>1.2692133539520483</v>
      </c>
      <c r="H6" s="150">
        <f>БО!D7</f>
        <v>0.7979129865191606</v>
      </c>
      <c r="I6" s="199">
        <f>(E14/C14)*(H15-H6)*G6*C6</f>
        <v>-3888.5547454754383</v>
      </c>
      <c r="J6" s="204">
        <v>0</v>
      </c>
      <c r="K6" s="123">
        <f>БО!G7</f>
        <v>0.7900348506274214</v>
      </c>
      <c r="L6" s="205">
        <f>E6+F6+J6</f>
        <v>21820.823516098237</v>
      </c>
      <c r="M6" s="205">
        <f>(L14/C14)*(1-K6)*G6*C6</f>
        <v>4877.376266099476</v>
      </c>
      <c r="N6" s="204">
        <f>(5000-J14)*M6/M14</f>
        <v>414.58843903403334</v>
      </c>
      <c r="O6" s="203">
        <f aca="true" t="shared" si="0" ref="O6:O13">J6+N6</f>
        <v>414.58843903403334</v>
      </c>
      <c r="P6" s="204">
        <f>F6+O6</f>
        <v>3016.5119551322687</v>
      </c>
      <c r="R6" s="158"/>
      <c r="S6" s="209"/>
    </row>
    <row r="7" spans="1:19" ht="24.75" customHeight="1">
      <c r="A7" s="40">
        <v>2</v>
      </c>
      <c r="B7" s="41" t="s">
        <v>118</v>
      </c>
      <c r="C7" s="181">
        <f>+'Коэф.масшт.'!C6</f>
        <v>5399</v>
      </c>
      <c r="D7" s="201">
        <f>+'Налоговый потен'!M8</f>
        <v>9181.570355705486</v>
      </c>
      <c r="E7" s="202">
        <v>13752.9</v>
      </c>
      <c r="F7" s="203">
        <f>'субв от числ уточ'!D7</f>
        <v>2304.8047684026865</v>
      </c>
      <c r="G7" s="150">
        <f>+ИБР!R8</f>
        <v>1.222300659017359</v>
      </c>
      <c r="H7" s="150">
        <f>БО!D8</f>
        <v>0.7001711213493805</v>
      </c>
      <c r="I7" s="199">
        <f>(E14/C14)*(H15-H7)*G7*C7</f>
        <v>-1671.6614090823803</v>
      </c>
      <c r="J7" s="204">
        <v>0</v>
      </c>
      <c r="K7" s="123">
        <f>БО!G8</f>
        <v>0.6932580326609444</v>
      </c>
      <c r="L7" s="205">
        <f aca="true" t="shared" si="1" ref="L7:L12">E7+F7+J7</f>
        <v>16057.704768402686</v>
      </c>
      <c r="M7" s="205">
        <f>(L14/C14)*(1-K7)*G7*C7</f>
        <v>6078.4839542838345</v>
      </c>
      <c r="N7" s="204">
        <f>(5000-J14)*M7/M14</f>
        <v>516.6854137983694</v>
      </c>
      <c r="O7" s="203">
        <f t="shared" si="0"/>
        <v>516.6854137983694</v>
      </c>
      <c r="P7" s="204">
        <f>F7+O7+0.001</f>
        <v>2821.4911822010563</v>
      </c>
      <c r="R7" s="158"/>
      <c r="S7" s="209"/>
    </row>
    <row r="8" spans="1:19" ht="24.75" customHeight="1">
      <c r="A8" s="40">
        <v>3</v>
      </c>
      <c r="B8" s="41" t="s">
        <v>119</v>
      </c>
      <c r="C8" s="181">
        <f>+'Коэф.масшт.'!C7</f>
        <v>3889</v>
      </c>
      <c r="D8" s="201">
        <f>+'Налоговый потен'!M9</f>
        <v>5440.0024558609075</v>
      </c>
      <c r="E8" s="202">
        <v>8901.5</v>
      </c>
      <c r="F8" s="203">
        <f>'субв от числ уточ'!D8</f>
        <v>1660.1931922241242</v>
      </c>
      <c r="G8" s="150">
        <f>+ИБР!R9</f>
        <v>1.6867395305638317</v>
      </c>
      <c r="H8" s="150">
        <f>БО!D9</f>
        <v>0.4354085188613714</v>
      </c>
      <c r="I8" s="199">
        <f>(E14/C14)*(H15-H8)*G8*C8</f>
        <v>2769.0934180534578</v>
      </c>
      <c r="J8" s="204">
        <f>I8*0.1</f>
        <v>276.9093418053458</v>
      </c>
      <c r="K8" s="123">
        <f>БО!G9</f>
        <v>0.44792292064526223</v>
      </c>
      <c r="L8" s="205">
        <f t="shared" si="1"/>
        <v>10838.60253402947</v>
      </c>
      <c r="M8" s="205">
        <f>(L14/C14)*(1-K8)*G8*C8</f>
        <v>10874.677485286067</v>
      </c>
      <c r="N8" s="204">
        <f>(5000-J14)*M8/M14</f>
        <v>924.3731296599016</v>
      </c>
      <c r="O8" s="203">
        <f>J8+N8</f>
        <v>1201.2824714652475</v>
      </c>
      <c r="P8" s="204">
        <f>F8+O8</f>
        <v>2861.4756636893717</v>
      </c>
      <c r="R8" s="158"/>
      <c r="S8" s="209"/>
    </row>
    <row r="9" spans="1:19" ht="24.75" customHeight="1">
      <c r="A9" s="40">
        <v>4</v>
      </c>
      <c r="B9" s="41" t="s">
        <v>120</v>
      </c>
      <c r="C9" s="181">
        <f>+'Коэф.масшт.'!C8</f>
        <v>1461</v>
      </c>
      <c r="D9" s="201">
        <f>+'Налоговый потен'!M10</f>
        <v>3336.309753447514</v>
      </c>
      <c r="E9" s="202">
        <v>3546</v>
      </c>
      <c r="F9" s="203">
        <f>'субв от числ уточ'!D9</f>
        <v>623.6932333091914</v>
      </c>
      <c r="G9" s="150">
        <f>+ИБР!R10</f>
        <v>3.001048199424332</v>
      </c>
      <c r="H9" s="150">
        <f>БО!D10</f>
        <v>0.36331631374732715</v>
      </c>
      <c r="I9" s="199">
        <f>(E14/C14)*(H15-H9)*G9*C9</f>
        <v>2657.258359791882</v>
      </c>
      <c r="J9" s="204">
        <f>I9*0.1</f>
        <v>265.7258359791882</v>
      </c>
      <c r="K9" s="123">
        <f>БО!G10</f>
        <v>0.38386783688580756</v>
      </c>
      <c r="L9" s="205">
        <f t="shared" si="1"/>
        <v>4435.41906928838</v>
      </c>
      <c r="M9" s="205">
        <f>(L14/C14)*(1-K9)*G9*C9</f>
        <v>8111.996775956649</v>
      </c>
      <c r="N9" s="204">
        <f>(5000-J14)*M9/M14</f>
        <v>689.5387801365058</v>
      </c>
      <c r="O9" s="203">
        <f t="shared" si="0"/>
        <v>955.264616115694</v>
      </c>
      <c r="P9" s="204">
        <f>F9+O9-0.001</f>
        <v>1578.9568494248854</v>
      </c>
      <c r="R9" s="158"/>
      <c r="S9" s="209"/>
    </row>
    <row r="10" spans="1:19" ht="24.75" customHeight="1">
      <c r="A10" s="40">
        <v>5</v>
      </c>
      <c r="B10" s="41" t="s">
        <v>121</v>
      </c>
      <c r="C10" s="181">
        <f>+'Коэф.масшт.'!C9</f>
        <v>3845</v>
      </c>
      <c r="D10" s="201">
        <f>+'Налоговый потен'!M11</f>
        <v>7342.568360812999</v>
      </c>
      <c r="E10" s="202">
        <v>7619</v>
      </c>
      <c r="F10" s="203">
        <f>'субв от числ уточ'!D10</f>
        <v>1641.4103231169345</v>
      </c>
      <c r="G10" s="150">
        <f>+ИБР!R11</f>
        <v>1.4686471547423883</v>
      </c>
      <c r="H10" s="150">
        <f>БО!D11</f>
        <v>0.6399815775950899</v>
      </c>
      <c r="I10" s="199">
        <f>(E14/C14)*(H15-H10)*G10*C10</f>
        <v>-563.3417982560209</v>
      </c>
      <c r="J10" s="204">
        <v>0</v>
      </c>
      <c r="K10" s="123">
        <f>БО!G11</f>
        <v>0.6336627659932151</v>
      </c>
      <c r="L10" s="205">
        <f t="shared" si="1"/>
        <v>9260.410323116934</v>
      </c>
      <c r="M10" s="205">
        <f>(L14/C14)*(1-K10)*G10*C10</f>
        <v>6211.916036339819</v>
      </c>
      <c r="N10" s="204">
        <f>(5000-J14)*M10/M14+0.0001</f>
        <v>528.027554190281</v>
      </c>
      <c r="O10" s="203">
        <f>J10+N10</f>
        <v>528.027554190281</v>
      </c>
      <c r="P10" s="204">
        <f>F10+O10</f>
        <v>2169.4378773072153</v>
      </c>
      <c r="R10" s="158"/>
      <c r="S10" s="209"/>
    </row>
    <row r="11" spans="1:19" ht="24.75" customHeight="1">
      <c r="A11" s="40">
        <v>6</v>
      </c>
      <c r="B11" s="41" t="s">
        <v>122</v>
      </c>
      <c r="C11" s="181">
        <f>+'Коэф.масшт.'!C10</f>
        <v>4420</v>
      </c>
      <c r="D11" s="201">
        <f>+'Налоговый потен'!M12</f>
        <v>12915.579253193484</v>
      </c>
      <c r="E11" s="202">
        <v>12402.1</v>
      </c>
      <c r="F11" s="203">
        <f>'субв от числ уточ'!D11</f>
        <v>1886.8748057677112</v>
      </c>
      <c r="G11" s="150">
        <f>+ИБР!R12</f>
        <v>1.579344019175286</v>
      </c>
      <c r="H11" s="150">
        <f>БО!D12</f>
        <v>0.8529965696060418</v>
      </c>
      <c r="I11" s="199">
        <f>(E14/C14)*(H15-H11)*G11*C11</f>
        <v>-4489.935393962997</v>
      </c>
      <c r="J11" s="204">
        <v>0</v>
      </c>
      <c r="K11" s="123">
        <f>БО!G12</f>
        <v>0.8445745699593642</v>
      </c>
      <c r="L11" s="205">
        <f t="shared" si="1"/>
        <v>14288.974805767712</v>
      </c>
      <c r="M11" s="205">
        <f>(L14/C14)*(1-K11)*G11*C11</f>
        <v>3258.0053241620076</v>
      </c>
      <c r="N11" s="204">
        <f>(5000-J14)*M11/M14</f>
        <v>276.93810524671704</v>
      </c>
      <c r="O11" s="203">
        <f t="shared" si="0"/>
        <v>276.93810524671704</v>
      </c>
      <c r="P11" s="204">
        <f>F11+O11-0.001</f>
        <v>2163.811911014428</v>
      </c>
      <c r="R11" s="158"/>
      <c r="S11" s="209"/>
    </row>
    <row r="12" spans="1:19" ht="24.75" customHeight="1">
      <c r="A12" s="40">
        <v>7</v>
      </c>
      <c r="B12" s="41" t="s">
        <v>123</v>
      </c>
      <c r="C12" s="181">
        <f>+'Коэф.масшт.'!C11</f>
        <v>2037</v>
      </c>
      <c r="D12" s="201">
        <f>+'Налоговый потен'!M13</f>
        <v>2901.706162741507</v>
      </c>
      <c r="E12" s="202">
        <v>3548.9</v>
      </c>
      <c r="F12" s="203">
        <f>'субв от числ уточ'!D12</f>
        <v>869.5846107124045</v>
      </c>
      <c r="G12" s="150">
        <f>+ИБР!R13</f>
        <v>1.913133207079551</v>
      </c>
      <c r="H12" s="150">
        <f>БО!D13</f>
        <v>0.3892838186608521</v>
      </c>
      <c r="I12" s="199">
        <f>(E14/C14)*(H15-H12)*G12*C12</f>
        <v>2103.6526236535433</v>
      </c>
      <c r="J12" s="204">
        <f>I12*0.1</f>
        <v>210.36526236535434</v>
      </c>
      <c r="K12" s="123">
        <f>БО!G13</f>
        <v>0.4069403826572763</v>
      </c>
      <c r="L12" s="205">
        <f t="shared" si="1"/>
        <v>4628.849873077759</v>
      </c>
      <c r="M12" s="205">
        <f>(L14/C14)*(1-K12)*G12*C12</f>
        <v>6940.093069951091</v>
      </c>
      <c r="N12" s="204">
        <f>(5000-J14)*M12/M14+0.0001</f>
        <v>589.924312454281</v>
      </c>
      <c r="O12" s="203">
        <f t="shared" si="0"/>
        <v>800.2895748196354</v>
      </c>
      <c r="P12" s="204">
        <f>F12+O12-0.001</f>
        <v>1669.87318553204</v>
      </c>
      <c r="R12" s="158"/>
      <c r="S12" s="209"/>
    </row>
    <row r="13" spans="1:19" ht="24.75" customHeight="1">
      <c r="A13" s="40">
        <v>8</v>
      </c>
      <c r="B13" s="41" t="s">
        <v>124</v>
      </c>
      <c r="C13" s="181">
        <f>+'Коэф.масшт.'!C12</f>
        <v>3230</v>
      </c>
      <c r="D13" s="201">
        <f>+'Налоговый потен'!M14</f>
        <v>8684.737960080674</v>
      </c>
      <c r="E13" s="202">
        <v>8504.3</v>
      </c>
      <c r="F13" s="203">
        <f>'субв от числ уточ'!D13</f>
        <v>1378.870050368712</v>
      </c>
      <c r="G13" s="150">
        <f>+ИБР!R14</f>
        <v>1.6132280092048463</v>
      </c>
      <c r="H13" s="150">
        <f>БО!D14</f>
        <v>0.776905164253839</v>
      </c>
      <c r="I13" s="199">
        <f>(E14/C14)*(H15-H13)*G13*C13</f>
        <v>-2339.99347828235</v>
      </c>
      <c r="J13" s="204">
        <v>0</v>
      </c>
      <c r="K13" s="123">
        <f>БО!G14</f>
        <v>0.7692344475686949</v>
      </c>
      <c r="L13" s="205">
        <f>E13+F13+J13</f>
        <v>9883.170050368712</v>
      </c>
      <c r="M13" s="205">
        <f>(L14/C14)*(1-K13)*G13*C13</f>
        <v>3610.771106228266</v>
      </c>
      <c r="N13" s="204">
        <f>(5000-J14)*M13/M14</f>
        <v>306.9240253300226</v>
      </c>
      <c r="O13" s="203">
        <f t="shared" si="0"/>
        <v>306.9240253300226</v>
      </c>
      <c r="P13" s="204">
        <f>F13+O13</f>
        <v>1685.7940756987346</v>
      </c>
      <c r="R13" s="158"/>
      <c r="S13" s="209"/>
    </row>
    <row r="14" spans="1:19" ht="24.75" customHeight="1">
      <c r="A14" s="40"/>
      <c r="B14" s="44" t="s">
        <v>14</v>
      </c>
      <c r="C14" s="182">
        <f>SUM(C6:C13)</f>
        <v>30376</v>
      </c>
      <c r="D14" s="200">
        <f>SUM(D6:D13)</f>
        <v>62545</v>
      </c>
      <c r="E14" s="200">
        <f>SUM(E6:E13)</f>
        <v>77493.6</v>
      </c>
      <c r="F14" s="203">
        <f>SUM(F6:F13)</f>
        <v>12967.3545</v>
      </c>
      <c r="G14" s="150"/>
      <c r="H14" s="90"/>
      <c r="I14" s="200">
        <f>SUM(I6:I13)</f>
        <v>-5423.482423560303</v>
      </c>
      <c r="J14" s="200">
        <f>+J8+J9+J12</f>
        <v>753.0004401498884</v>
      </c>
      <c r="K14" s="123"/>
      <c r="L14" s="200">
        <f>SUM(L6:L13)</f>
        <v>91213.9549401499</v>
      </c>
      <c r="M14" s="200">
        <f>SUM(M6:M13)</f>
        <v>49963.32001830721</v>
      </c>
      <c r="N14" s="200">
        <f>SUM(N6:N13)</f>
        <v>4246.999759850111</v>
      </c>
      <c r="O14" s="203">
        <f>SUM(O6:O13)</f>
        <v>5000.0002</v>
      </c>
      <c r="P14" s="200">
        <f>SUM(P6:P13)</f>
        <v>17967.3527</v>
      </c>
      <c r="R14" s="158"/>
      <c r="S14" s="209"/>
    </row>
    <row r="15" spans="1:19" ht="24.75" customHeight="1">
      <c r="A15" s="40"/>
      <c r="B15" s="38"/>
      <c r="C15" s="90"/>
      <c r="D15" s="90"/>
      <c r="E15" s="90"/>
      <c r="F15" s="36"/>
      <c r="G15" s="150" t="s">
        <v>91</v>
      </c>
      <c r="H15" s="150">
        <f>БО!D16</f>
        <v>0.6008774221333454</v>
      </c>
      <c r="I15" s="150"/>
      <c r="J15" s="172" t="s">
        <v>127</v>
      </c>
      <c r="K15" s="123">
        <f>+БО!G16</f>
        <v>0.6142212034225859</v>
      </c>
      <c r="L15" s="123">
        <v>1</v>
      </c>
      <c r="M15" s="123"/>
      <c r="N15" s="173"/>
      <c r="O15" s="36"/>
      <c r="P15" s="124"/>
      <c r="S15" s="209"/>
    </row>
    <row r="16" spans="2:16" ht="21" customHeight="1">
      <c r="B16" s="39"/>
      <c r="C16" s="74"/>
      <c r="D16" s="74"/>
      <c r="H16" s="83"/>
      <c r="I16" s="74"/>
      <c r="J16" s="168"/>
      <c r="K16" s="174" t="s">
        <v>110</v>
      </c>
      <c r="L16" s="174"/>
      <c r="M16" s="174"/>
      <c r="N16" s="174"/>
      <c r="O16" s="165"/>
      <c r="P16" s="166"/>
    </row>
    <row r="17" spans="2:9" ht="12.75" hidden="1">
      <c r="B17" s="234"/>
      <c r="C17" s="234"/>
      <c r="D17" s="234"/>
      <c r="E17" s="234"/>
      <c r="I17" s="43">
        <f>+(E14/C14)*G6*H15*C6</f>
        <v>11858.492443072264</v>
      </c>
    </row>
    <row r="18" ht="12.75" hidden="1">
      <c r="I18" s="43">
        <f>+(E14/C14)*G7*H15*C7</f>
        <v>10116.085976248969</v>
      </c>
    </row>
    <row r="19" ht="12.75" hidden="1"/>
    <row r="20" ht="12.75">
      <c r="N20" s="175"/>
    </row>
    <row r="21" ht="12.75">
      <c r="D21" s="158"/>
    </row>
    <row r="22" ht="12.75">
      <c r="I22" s="158"/>
    </row>
  </sheetData>
  <sheetProtection/>
  <mergeCells count="2">
    <mergeCell ref="B17:E17"/>
    <mergeCell ref="A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625" style="26" customWidth="1"/>
    <col min="2" max="2" width="26.625" style="26" customWidth="1"/>
    <col min="3" max="3" width="12.375" style="147" customWidth="1"/>
    <col min="4" max="4" width="12.375" style="165" customWidth="1"/>
    <col min="5" max="6" width="12.375" style="26" customWidth="1"/>
    <col min="7" max="8" width="12.375" style="165" customWidth="1"/>
    <col min="9" max="9" width="12.375" style="27" customWidth="1"/>
    <col min="10" max="11" width="12.375" style="26" customWidth="1"/>
    <col min="12" max="12" width="11.375" style="26" bestFit="1" customWidth="1"/>
    <col min="13" max="13" width="9.125" style="26" customWidth="1"/>
    <col min="14" max="14" width="12.375" style="26" hidden="1" customWidth="1"/>
    <col min="15" max="16384" width="9.125" style="26" customWidth="1"/>
  </cols>
  <sheetData>
    <row r="1" spans="3:11" s="33" customFormat="1" ht="15.75">
      <c r="C1" s="195"/>
      <c r="D1" s="178"/>
      <c r="G1" s="178"/>
      <c r="H1" s="178"/>
      <c r="I1" s="16"/>
      <c r="K1" s="16" t="s">
        <v>149</v>
      </c>
    </row>
    <row r="2" spans="1:11" s="33" customFormat="1" ht="59.25" customHeight="1">
      <c r="A2" s="273" t="s">
        <v>178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s="196" customFormat="1" ht="12.75">
      <c r="A3" s="227" t="s">
        <v>0</v>
      </c>
      <c r="B3" s="227" t="s">
        <v>1</v>
      </c>
      <c r="C3" s="270" t="s">
        <v>59</v>
      </c>
      <c r="D3" s="270"/>
      <c r="E3" s="270"/>
      <c r="F3" s="270" t="s">
        <v>84</v>
      </c>
      <c r="G3" s="270"/>
      <c r="H3" s="188"/>
      <c r="I3" s="271" t="s">
        <v>113</v>
      </c>
      <c r="J3" s="272"/>
      <c r="K3" s="17"/>
    </row>
    <row r="4" spans="1:11" s="196" customFormat="1" ht="54.75" customHeight="1">
      <c r="A4" s="227"/>
      <c r="B4" s="227"/>
      <c r="C4" s="189" t="s">
        <v>162</v>
      </c>
      <c r="D4" s="189" t="s">
        <v>179</v>
      </c>
      <c r="E4" s="183" t="s">
        <v>83</v>
      </c>
      <c r="F4" s="189" t="s">
        <v>162</v>
      </c>
      <c r="G4" s="189" t="s">
        <v>179</v>
      </c>
      <c r="H4" s="183" t="s">
        <v>83</v>
      </c>
      <c r="I4" s="189" t="s">
        <v>180</v>
      </c>
      <c r="J4" s="197" t="s">
        <v>162</v>
      </c>
      <c r="K4" s="183" t="s">
        <v>83</v>
      </c>
    </row>
    <row r="5" spans="1:14" ht="24.75" customHeight="1">
      <c r="A5" s="30">
        <v>1</v>
      </c>
      <c r="B5" s="31" t="s">
        <v>117</v>
      </c>
      <c r="C5" s="201">
        <v>2377.417</v>
      </c>
      <c r="D5" s="4">
        <f>+'субв от числ уточ'!D6</f>
        <v>2601.9235160982353</v>
      </c>
      <c r="E5" s="4">
        <f>D5-C5</f>
        <v>224.50651609823535</v>
      </c>
      <c r="F5" s="4">
        <v>416.893</v>
      </c>
      <c r="G5" s="4">
        <f>'Дотац 4000'!O6</f>
        <v>414.58843903403334</v>
      </c>
      <c r="H5" s="4">
        <f>+G5-F5</f>
        <v>-2.3045609659666297</v>
      </c>
      <c r="I5" s="4">
        <f>D5+G5</f>
        <v>3016.5119551322687</v>
      </c>
      <c r="J5" s="4">
        <f>C5+F5</f>
        <v>2794.31</v>
      </c>
      <c r="K5" s="4">
        <f>+I5-J5</f>
        <v>222.20195513226872</v>
      </c>
      <c r="N5" s="190">
        <v>325.81391</v>
      </c>
    </row>
    <row r="6" spans="1:14" ht="24.75" customHeight="1">
      <c r="A6" s="30">
        <v>2</v>
      </c>
      <c r="B6" s="31" t="s">
        <v>118</v>
      </c>
      <c r="C6" s="201">
        <v>2125.394</v>
      </c>
      <c r="D6" s="4">
        <f>+'субв от числ уточ'!D7</f>
        <v>2304.8047684026865</v>
      </c>
      <c r="E6" s="4">
        <f aca="true" t="shared" si="0" ref="E6:E12">D6-C6</f>
        <v>179.4107684026867</v>
      </c>
      <c r="F6" s="4">
        <v>500.563</v>
      </c>
      <c r="G6" s="4">
        <f>'Дотац 4000'!O7</f>
        <v>516.6854137983694</v>
      </c>
      <c r="H6" s="4">
        <f aca="true" t="shared" si="1" ref="H6:H13">+G6-F6</f>
        <v>16.122413798369394</v>
      </c>
      <c r="I6" s="4">
        <f aca="true" t="shared" si="2" ref="I6:I12">D6+G6</f>
        <v>2821.490182201056</v>
      </c>
      <c r="J6" s="4">
        <f aca="true" t="shared" si="3" ref="J6:J12">C6+F6</f>
        <v>2625.957</v>
      </c>
      <c r="K6" s="4">
        <f aca="true" t="shared" si="4" ref="K6:K12">+I6-J6</f>
        <v>195.5331822010562</v>
      </c>
      <c r="L6" s="190"/>
      <c r="N6" s="190">
        <v>385.45358</v>
      </c>
    </row>
    <row r="7" spans="1:14" ht="24.75" customHeight="1">
      <c r="A7" s="30">
        <v>3</v>
      </c>
      <c r="B7" s="31" t="s">
        <v>119</v>
      </c>
      <c r="C7" s="201">
        <v>1522.066</v>
      </c>
      <c r="D7" s="4">
        <f>+'субв от числ уточ'!D8</f>
        <v>1660.1931922241242</v>
      </c>
      <c r="E7" s="4">
        <f t="shared" si="0"/>
        <v>138.1271922241242</v>
      </c>
      <c r="F7" s="4">
        <v>1134.822</v>
      </c>
      <c r="G7" s="4">
        <f>'Дотац 4000'!O8</f>
        <v>1201.2824714652475</v>
      </c>
      <c r="H7" s="4">
        <f t="shared" si="1"/>
        <v>66.46047146524756</v>
      </c>
      <c r="I7" s="4">
        <f t="shared" si="2"/>
        <v>2861.4756636893717</v>
      </c>
      <c r="J7" s="4">
        <f>C7+F7</f>
        <v>2656.888</v>
      </c>
      <c r="K7" s="4">
        <f t="shared" si="4"/>
        <v>204.58766368937177</v>
      </c>
      <c r="N7" s="190">
        <v>1150.84672</v>
      </c>
    </row>
    <row r="8" spans="1:14" ht="24.75" customHeight="1">
      <c r="A8" s="30">
        <v>4</v>
      </c>
      <c r="B8" s="31" t="s">
        <v>120</v>
      </c>
      <c r="C8" s="201">
        <v>583.853</v>
      </c>
      <c r="D8" s="201">
        <f>+'субв от числ уточ'!D9</f>
        <v>623.6932333091914</v>
      </c>
      <c r="E8" s="4">
        <f t="shared" si="0"/>
        <v>39.84023330919149</v>
      </c>
      <c r="F8" s="4">
        <v>962.467</v>
      </c>
      <c r="G8" s="4">
        <f>'Дотац 4000'!O9</f>
        <v>955.264616115694</v>
      </c>
      <c r="H8" s="4">
        <f t="shared" si="1"/>
        <v>-7.202383884305959</v>
      </c>
      <c r="I8" s="4">
        <f t="shared" si="2"/>
        <v>1578.9578494248854</v>
      </c>
      <c r="J8" s="4">
        <f t="shared" si="3"/>
        <v>1546.32</v>
      </c>
      <c r="K8" s="4">
        <f t="shared" si="4"/>
        <v>32.63784942488542</v>
      </c>
      <c r="N8" s="190">
        <v>969.6078</v>
      </c>
    </row>
    <row r="9" spans="1:14" ht="24.75" customHeight="1">
      <c r="A9" s="30">
        <v>5</v>
      </c>
      <c r="B9" s="31" t="s">
        <v>121</v>
      </c>
      <c r="C9" s="201">
        <v>1515.958</v>
      </c>
      <c r="D9" s="201">
        <f>+'субв от числ уточ'!D10</f>
        <v>1641.4103231169345</v>
      </c>
      <c r="E9" s="4">
        <f t="shared" si="0"/>
        <v>125.4523231169344</v>
      </c>
      <c r="F9" s="4">
        <v>636.965</v>
      </c>
      <c r="G9" s="4">
        <f>'Дотац 4000'!O10</f>
        <v>528.027554190281</v>
      </c>
      <c r="H9" s="4">
        <f t="shared" si="1"/>
        <v>-108.93744580971907</v>
      </c>
      <c r="I9" s="4">
        <f t="shared" si="2"/>
        <v>2169.4378773072153</v>
      </c>
      <c r="J9" s="4">
        <f t="shared" si="3"/>
        <v>2152.9230000000002</v>
      </c>
      <c r="K9" s="4">
        <f t="shared" si="4"/>
        <v>16.5148773072151</v>
      </c>
      <c r="N9" s="190">
        <v>742.22817</v>
      </c>
    </row>
    <row r="10" spans="1:14" ht="24.75" customHeight="1">
      <c r="A10" s="30">
        <v>6</v>
      </c>
      <c r="B10" s="31" t="s">
        <v>122</v>
      </c>
      <c r="C10" s="201">
        <v>1735.14</v>
      </c>
      <c r="D10" s="201">
        <f>+'субв от числ уточ'!D11</f>
        <v>1886.8748057677112</v>
      </c>
      <c r="E10" s="4">
        <f t="shared" si="0"/>
        <v>151.73480576771112</v>
      </c>
      <c r="F10" s="4">
        <v>309.757</v>
      </c>
      <c r="G10" s="4">
        <f>'Дотац 4000'!O11</f>
        <v>276.93810524671704</v>
      </c>
      <c r="H10" s="4">
        <f t="shared" si="1"/>
        <v>-32.81889475328296</v>
      </c>
      <c r="I10" s="4">
        <f t="shared" si="2"/>
        <v>2163.812911014428</v>
      </c>
      <c r="J10" s="4">
        <f t="shared" si="3"/>
        <v>2044.8970000000002</v>
      </c>
      <c r="K10" s="4">
        <f t="shared" si="4"/>
        <v>118.91591101442805</v>
      </c>
      <c r="N10" s="190">
        <v>308.75746</v>
      </c>
    </row>
    <row r="11" spans="1:14" ht="24.75" customHeight="1">
      <c r="A11" s="30">
        <v>7</v>
      </c>
      <c r="B11" s="31" t="s">
        <v>123</v>
      </c>
      <c r="C11" s="201">
        <v>809.529</v>
      </c>
      <c r="D11" s="201">
        <f>+'субв от числ уточ'!D12</f>
        <v>869.5846107124045</v>
      </c>
      <c r="E11" s="4">
        <f t="shared" si="0"/>
        <v>60.05561071240447</v>
      </c>
      <c r="F11" s="4">
        <v>772.823</v>
      </c>
      <c r="G11" s="4">
        <f>'Дотац 4000'!O12</f>
        <v>800.2895748196354</v>
      </c>
      <c r="H11" s="4">
        <f t="shared" si="1"/>
        <v>27.46657481963541</v>
      </c>
      <c r="I11" s="4">
        <f t="shared" si="2"/>
        <v>1669.87418553204</v>
      </c>
      <c r="J11" s="4">
        <f t="shared" si="3"/>
        <v>1582.3519999999999</v>
      </c>
      <c r="K11" s="4">
        <f t="shared" si="4"/>
        <v>87.52218553204011</v>
      </c>
      <c r="N11" s="190">
        <v>750.51896</v>
      </c>
    </row>
    <row r="12" spans="1:14" ht="24.75" customHeight="1">
      <c r="A12" s="30">
        <v>8</v>
      </c>
      <c r="B12" s="31" t="s">
        <v>124</v>
      </c>
      <c r="C12" s="201">
        <v>1268.898</v>
      </c>
      <c r="D12" s="201">
        <f>+'субв от числ уточ'!D13</f>
        <v>1378.870050368712</v>
      </c>
      <c r="E12" s="4">
        <f t="shared" si="0"/>
        <v>109.97205036871219</v>
      </c>
      <c r="F12" s="4">
        <v>265.71</v>
      </c>
      <c r="G12" s="4">
        <f>'Дотац 4000'!O13</f>
        <v>306.9240253300226</v>
      </c>
      <c r="H12" s="4">
        <f t="shared" si="1"/>
        <v>41.214025330022594</v>
      </c>
      <c r="I12" s="4">
        <f t="shared" si="2"/>
        <v>1685.7940756987346</v>
      </c>
      <c r="J12" s="4">
        <f t="shared" si="3"/>
        <v>1534.608</v>
      </c>
      <c r="K12" s="4">
        <f t="shared" si="4"/>
        <v>151.1860756987346</v>
      </c>
      <c r="N12" s="190">
        <v>77.3734</v>
      </c>
    </row>
    <row r="13" spans="1:14" ht="24.75" customHeight="1">
      <c r="A13" s="30"/>
      <c r="B13" s="3" t="s">
        <v>14</v>
      </c>
      <c r="C13" s="206">
        <f>SUM(C5:C12)</f>
        <v>11938.255</v>
      </c>
      <c r="D13" s="206">
        <f>SUM(D5:D12)</f>
        <v>12967.3545</v>
      </c>
      <c r="E13" s="206">
        <f>SUM(E5:E12)</f>
        <v>1029.0994999999998</v>
      </c>
      <c r="F13" s="206">
        <f>SUM(F5:F12)</f>
        <v>5000</v>
      </c>
      <c r="G13" s="206">
        <f>SUM(G5:G12)</f>
        <v>5000.0002</v>
      </c>
      <c r="H13" s="206">
        <f t="shared" si="1"/>
        <v>0.00020000000040454324</v>
      </c>
      <c r="I13" s="206">
        <f>SUM(I5:I12)</f>
        <v>17967.3547</v>
      </c>
      <c r="J13" s="206">
        <f>SUM(J5:J12)</f>
        <v>16938.255</v>
      </c>
      <c r="K13" s="206">
        <f>+I13-J13</f>
        <v>1029.0996999999988</v>
      </c>
      <c r="N13" s="190">
        <f>SUM(N5:N12)</f>
        <v>4710.6</v>
      </c>
    </row>
    <row r="14" spans="2:11" ht="12.75">
      <c r="B14" s="146"/>
      <c r="C14" s="191"/>
      <c r="D14" s="192"/>
      <c r="E14" s="193"/>
      <c r="F14" s="193"/>
      <c r="G14" s="192"/>
      <c r="H14" s="192"/>
      <c r="I14" s="193"/>
      <c r="J14" s="193"/>
      <c r="K14" s="193"/>
    </row>
    <row r="15" spans="2:11" ht="12.75">
      <c r="B15" s="146"/>
      <c r="C15" s="191"/>
      <c r="D15" s="194"/>
      <c r="E15" s="193"/>
      <c r="F15" s="193"/>
      <c r="G15" s="194"/>
      <c r="H15" s="194"/>
      <c r="I15" s="193"/>
      <c r="J15" s="193"/>
      <c r="K15" s="193"/>
    </row>
    <row r="16" spans="2:9" ht="24.75" customHeight="1">
      <c r="B16" s="165"/>
      <c r="C16" s="165"/>
      <c r="D16" s="194"/>
      <c r="E16" s="72"/>
      <c r="F16" s="72"/>
      <c r="G16" s="194"/>
      <c r="H16" s="194"/>
      <c r="I16" s="165"/>
    </row>
    <row r="18" spans="3:8" ht="12.75">
      <c r="C18" s="165"/>
      <c r="D18" s="194"/>
      <c r="E18" s="72"/>
      <c r="F18" s="72"/>
      <c r="G18" s="194"/>
      <c r="H18" s="194"/>
    </row>
    <row r="20" spans="3:8" ht="12.75">
      <c r="C20" s="165"/>
      <c r="D20" s="194"/>
      <c r="E20" s="72"/>
      <c r="F20" s="72"/>
      <c r="G20" s="194"/>
      <c r="H20" s="194"/>
    </row>
    <row r="22" spans="6:9" ht="12.75">
      <c r="F22" s="165"/>
      <c r="H22" s="27"/>
      <c r="I22" s="26"/>
    </row>
    <row r="23" spans="6:9" ht="12.75">
      <c r="F23" s="165"/>
      <c r="H23" s="27"/>
      <c r="I23" s="26"/>
    </row>
    <row r="24" spans="6:9" ht="12.75">
      <c r="F24" s="165"/>
      <c r="H24" s="27"/>
      <c r="I24" s="26"/>
    </row>
    <row r="25" spans="6:9" ht="12.75">
      <c r="F25" s="165"/>
      <c r="H25" s="27"/>
      <c r="I25" s="26"/>
    </row>
    <row r="26" spans="6:9" ht="12.75">
      <c r="F26" s="165"/>
      <c r="H26" s="27"/>
      <c r="I26" s="26"/>
    </row>
    <row r="27" spans="6:9" ht="12.75">
      <c r="F27" s="165"/>
      <c r="H27" s="27"/>
      <c r="I27" s="26"/>
    </row>
    <row r="28" spans="6:9" ht="12.75">
      <c r="F28" s="165"/>
      <c r="H28" s="27"/>
      <c r="I28" s="26"/>
    </row>
    <row r="29" spans="6:9" ht="12.75">
      <c r="F29" s="165"/>
      <c r="H29" s="27"/>
      <c r="I29" s="26"/>
    </row>
  </sheetData>
  <sheetProtection/>
  <mergeCells count="6">
    <mergeCell ref="C3:E3"/>
    <mergeCell ref="F3:G3"/>
    <mergeCell ref="B3:B4"/>
    <mergeCell ref="A3:A4"/>
    <mergeCell ref="I3:J3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view="pageBreakPreview" zoomScaleSheetLayoutView="100" zoomScalePageLayoutView="0" workbookViewId="0" topLeftCell="A1">
      <selection activeCell="T11" sqref="T11"/>
    </sheetView>
  </sheetViews>
  <sheetFormatPr defaultColWidth="9.00390625" defaultRowHeight="12.75"/>
  <cols>
    <col min="1" max="1" width="5.25390625" style="37" customWidth="1"/>
    <col min="2" max="2" width="31.875" style="37" customWidth="1"/>
    <col min="3" max="8" width="13.375" style="37" customWidth="1"/>
    <col min="9" max="10" width="9.125" style="37" customWidth="1"/>
    <col min="11" max="11" width="10.875" style="37" bestFit="1" customWidth="1"/>
    <col min="12" max="16384" width="9.125" style="37" customWidth="1"/>
  </cols>
  <sheetData>
    <row r="1" spans="4:8" s="15" customFormat="1" ht="15.75">
      <c r="D1" s="16"/>
      <c r="G1" s="16"/>
      <c r="H1" s="16" t="s">
        <v>150</v>
      </c>
    </row>
    <row r="2" spans="1:8" s="15" customFormat="1" ht="42.75" customHeight="1">
      <c r="A2" s="267" t="s">
        <v>191</v>
      </c>
      <c r="B2" s="267"/>
      <c r="C2" s="267"/>
      <c r="D2" s="267"/>
      <c r="E2" s="267"/>
      <c r="F2" s="267"/>
      <c r="G2" s="267"/>
      <c r="H2" s="267"/>
    </row>
    <row r="3" spans="1:8" ht="12.75">
      <c r="A3" s="185"/>
      <c r="B3" s="185"/>
      <c r="C3" s="186"/>
      <c r="D3" s="186"/>
      <c r="E3" s="186"/>
      <c r="F3" s="186"/>
      <c r="G3" s="186"/>
      <c r="H3" s="187" t="s">
        <v>155</v>
      </c>
    </row>
    <row r="4" spans="1:8" s="51" customFormat="1" ht="64.5" customHeight="1">
      <c r="A4" s="278" t="s">
        <v>154</v>
      </c>
      <c r="B4" s="278" t="s">
        <v>151</v>
      </c>
      <c r="C4" s="275" t="s">
        <v>152</v>
      </c>
      <c r="D4" s="276"/>
      <c r="E4" s="277"/>
      <c r="F4" s="275" t="s">
        <v>153</v>
      </c>
      <c r="G4" s="276"/>
      <c r="H4" s="277"/>
    </row>
    <row r="5" spans="1:8" s="51" customFormat="1" ht="21" customHeight="1">
      <c r="A5" s="279"/>
      <c r="B5" s="280"/>
      <c r="C5" s="170" t="s">
        <v>160</v>
      </c>
      <c r="D5" s="170" t="s">
        <v>163</v>
      </c>
      <c r="E5" s="170" t="s">
        <v>181</v>
      </c>
      <c r="F5" s="170" t="s">
        <v>160</v>
      </c>
      <c r="G5" s="170" t="s">
        <v>163</v>
      </c>
      <c r="H5" s="170" t="s">
        <v>181</v>
      </c>
    </row>
    <row r="6" spans="1:11" ht="21" customHeight="1">
      <c r="A6" s="40">
        <v>1</v>
      </c>
      <c r="B6" s="41" t="s">
        <v>117</v>
      </c>
      <c r="C6" s="198">
        <f>+'субв от числ уточ'!D6</f>
        <v>2601.9235160982353</v>
      </c>
      <c r="D6" s="198">
        <f>+'субв от числ уточ'!E6</f>
        <v>2863.9948717737684</v>
      </c>
      <c r="E6" s="198">
        <f>+'субв от числ уточ'!F6</f>
        <v>3150.4654900250193</v>
      </c>
      <c r="F6" s="198">
        <f>+РФФПП!G5</f>
        <v>414.58843903403334</v>
      </c>
      <c r="G6" s="205">
        <f>+F6</f>
        <v>414.58843903403334</v>
      </c>
      <c r="H6" s="205">
        <f>+F6</f>
        <v>414.58843903403334</v>
      </c>
      <c r="K6" s="158"/>
    </row>
    <row r="7" spans="1:11" ht="21" customHeight="1">
      <c r="A7" s="40">
        <v>2</v>
      </c>
      <c r="B7" s="41" t="s">
        <v>118</v>
      </c>
      <c r="C7" s="198">
        <f>+'субв от числ уточ'!D7</f>
        <v>2304.8047684026865</v>
      </c>
      <c r="D7" s="198">
        <f>+'субв от числ уточ'!E7</f>
        <v>2536.9496821503817</v>
      </c>
      <c r="E7" s="198">
        <f>+'субв от числ уточ'!F7</f>
        <v>2790.707658842507</v>
      </c>
      <c r="F7" s="198">
        <f>+РФФПП!G6</f>
        <v>516.6854137983694</v>
      </c>
      <c r="G7" s="205">
        <f aca="true" t="shared" si="0" ref="G7:G13">+F7</f>
        <v>516.6854137983694</v>
      </c>
      <c r="H7" s="205">
        <f aca="true" t="shared" si="1" ref="H7:H13">+F7</f>
        <v>516.6854137983694</v>
      </c>
      <c r="K7" s="158"/>
    </row>
    <row r="8" spans="1:11" ht="21" customHeight="1">
      <c r="A8" s="40">
        <v>3</v>
      </c>
      <c r="B8" s="41" t="s">
        <v>119</v>
      </c>
      <c r="C8" s="198">
        <f>+'субв от числ уточ'!D8</f>
        <v>1660.1931922241242</v>
      </c>
      <c r="D8" s="198">
        <f>+'субв от числ уточ'!E8</f>
        <v>1827.4114862720567</v>
      </c>
      <c r="E8" s="198">
        <f>+'субв от числ уточ'!F8</f>
        <v>2010.198571075849</v>
      </c>
      <c r="F8" s="198">
        <f>+РФФПП!G7-0.00000976654</f>
        <v>1201.2824616987075</v>
      </c>
      <c r="G8" s="205">
        <f t="shared" si="0"/>
        <v>1201.2824616987075</v>
      </c>
      <c r="H8" s="205">
        <f t="shared" si="1"/>
        <v>1201.2824616987075</v>
      </c>
      <c r="K8" s="158"/>
    </row>
    <row r="9" spans="1:11" ht="21" customHeight="1">
      <c r="A9" s="40">
        <v>4</v>
      </c>
      <c r="B9" s="41" t="s">
        <v>120</v>
      </c>
      <c r="C9" s="198">
        <f>+'субв от числ уточ'!D9</f>
        <v>623.6932333091914</v>
      </c>
      <c r="D9" s="198">
        <f>+'субв от числ уточ'!E9</f>
        <v>686.5129627008164</v>
      </c>
      <c r="E9" s="198">
        <f>+'субв от числ уточ'!F9</f>
        <v>755.1813094219119</v>
      </c>
      <c r="F9" s="198">
        <f>+РФФПП!G8</f>
        <v>955.264616115694</v>
      </c>
      <c r="G9" s="205">
        <f t="shared" si="0"/>
        <v>955.264616115694</v>
      </c>
      <c r="H9" s="205">
        <f t="shared" si="1"/>
        <v>955.264616115694</v>
      </c>
      <c r="K9" s="158"/>
    </row>
    <row r="10" spans="1:11" ht="21" customHeight="1">
      <c r="A10" s="40">
        <v>5</v>
      </c>
      <c r="B10" s="41" t="s">
        <v>121</v>
      </c>
      <c r="C10" s="198">
        <f>+'субв от числ уточ'!D10</f>
        <v>1641.4103231169345</v>
      </c>
      <c r="D10" s="198">
        <f>+'субв от числ уточ'!E10</f>
        <v>1806.7367156636817</v>
      </c>
      <c r="E10" s="198">
        <f>+'субв от числ уточ'!F10</f>
        <v>1987.4552599091385</v>
      </c>
      <c r="F10" s="198">
        <f>+РФФПП!G9</f>
        <v>528.027554190281</v>
      </c>
      <c r="G10" s="205">
        <f t="shared" si="0"/>
        <v>528.027554190281</v>
      </c>
      <c r="H10" s="205">
        <f t="shared" si="1"/>
        <v>528.027554190281</v>
      </c>
      <c r="K10" s="158"/>
    </row>
    <row r="11" spans="1:11" ht="21" customHeight="1">
      <c r="A11" s="40">
        <v>6</v>
      </c>
      <c r="B11" s="41" t="s">
        <v>122</v>
      </c>
      <c r="C11" s="198">
        <f>+'субв от числ уточ'!D11</f>
        <v>1886.8748057677112</v>
      </c>
      <c r="D11" s="198">
        <f>+'субв от числ уточ'!E11</f>
        <v>2076.9249111140375</v>
      </c>
      <c r="E11" s="198">
        <f>+'субв от числ уточ'!F11</f>
        <v>2284.668985383197</v>
      </c>
      <c r="F11" s="198">
        <f>+РФФПП!G10</f>
        <v>276.93810524671704</v>
      </c>
      <c r="G11" s="205">
        <f t="shared" si="0"/>
        <v>276.93810524671704</v>
      </c>
      <c r="H11" s="205">
        <f t="shared" si="1"/>
        <v>276.93810524671704</v>
      </c>
      <c r="K11" s="158"/>
    </row>
    <row r="12" spans="1:11" ht="21" customHeight="1">
      <c r="A12" s="40">
        <v>7</v>
      </c>
      <c r="B12" s="41" t="s">
        <v>123</v>
      </c>
      <c r="C12" s="198">
        <f>+'субв от числ уточ'!D12</f>
        <v>869.5846107124045</v>
      </c>
      <c r="D12" s="198">
        <f>+'субв от числ уточ'!E12</f>
        <v>957.1710506649987</v>
      </c>
      <c r="E12" s="198">
        <f>+'субв от числ уточ'!F12</f>
        <v>1052.9119283315774</v>
      </c>
      <c r="F12" s="198">
        <f>+РФФПП!G11</f>
        <v>800.2895748196354</v>
      </c>
      <c r="G12" s="205">
        <f t="shared" si="0"/>
        <v>800.2895748196354</v>
      </c>
      <c r="H12" s="205">
        <f t="shared" si="1"/>
        <v>800.2895748196354</v>
      </c>
      <c r="K12" s="158"/>
    </row>
    <row r="13" spans="1:11" ht="21" customHeight="1">
      <c r="A13" s="40">
        <v>8</v>
      </c>
      <c r="B13" s="41" t="s">
        <v>124</v>
      </c>
      <c r="C13" s="198">
        <f>+'субв от числ уточ'!D13</f>
        <v>1378.870050368712</v>
      </c>
      <c r="D13" s="198">
        <f>+'субв от числ уточ'!E13</f>
        <v>1517.752819660258</v>
      </c>
      <c r="E13" s="198">
        <f>+'субв от числ уточ'!F13</f>
        <v>1669.5657970107977</v>
      </c>
      <c r="F13" s="198">
        <f>+РФФПП!G12</f>
        <v>306.9240253300226</v>
      </c>
      <c r="G13" s="205">
        <f t="shared" si="0"/>
        <v>306.9240253300226</v>
      </c>
      <c r="H13" s="205">
        <f t="shared" si="1"/>
        <v>306.9240253300226</v>
      </c>
      <c r="K13" s="158"/>
    </row>
    <row r="14" spans="1:11" ht="21" customHeight="1">
      <c r="A14" s="40"/>
      <c r="B14" s="44" t="s">
        <v>14</v>
      </c>
      <c r="C14" s="207">
        <f aca="true" t="shared" si="2" ref="C14:H14">SUM(C6:C13)</f>
        <v>12967.3545</v>
      </c>
      <c r="D14" s="207">
        <f t="shared" si="2"/>
        <v>14273.454499999998</v>
      </c>
      <c r="E14" s="207">
        <f t="shared" si="2"/>
        <v>15701.154999999999</v>
      </c>
      <c r="F14" s="207">
        <f t="shared" si="2"/>
        <v>5000.00019023346</v>
      </c>
      <c r="G14" s="207">
        <f t="shared" si="2"/>
        <v>5000.00019023346</v>
      </c>
      <c r="H14" s="207">
        <f t="shared" si="2"/>
        <v>5000.00019023346</v>
      </c>
      <c r="K14" s="158"/>
    </row>
    <row r="15" spans="1:11" ht="21" customHeight="1">
      <c r="A15" s="219"/>
      <c r="B15" s="220"/>
      <c r="C15" s="221"/>
      <c r="D15" s="221"/>
      <c r="E15" s="221"/>
      <c r="F15" s="221"/>
      <c r="G15" s="221"/>
      <c r="H15" s="221"/>
      <c r="K15" s="158"/>
    </row>
    <row r="16" spans="1:11" s="223" customFormat="1" ht="21" customHeight="1">
      <c r="A16" s="281" t="s">
        <v>197</v>
      </c>
      <c r="B16" s="281"/>
      <c r="C16" s="281"/>
      <c r="D16" s="222"/>
      <c r="E16" s="222"/>
      <c r="F16" s="282" t="s">
        <v>198</v>
      </c>
      <c r="G16" s="282"/>
      <c r="H16" s="282"/>
      <c r="K16" s="224"/>
    </row>
    <row r="17" spans="1:11" ht="54" customHeight="1">
      <c r="A17" s="274" t="s">
        <v>199</v>
      </c>
      <c r="B17" s="274"/>
      <c r="C17" s="221"/>
      <c r="D17" s="221"/>
      <c r="E17" s="221"/>
      <c r="F17" s="221"/>
      <c r="G17" s="221"/>
      <c r="H17" s="221"/>
      <c r="K17" s="158"/>
    </row>
    <row r="18" spans="1:11" ht="12.75">
      <c r="A18" s="274" t="s">
        <v>200</v>
      </c>
      <c r="B18" s="274"/>
      <c r="C18" s="221"/>
      <c r="D18" s="221"/>
      <c r="E18" s="221"/>
      <c r="F18" s="221"/>
      <c r="G18" s="221"/>
      <c r="H18" s="221"/>
      <c r="K18" s="158"/>
    </row>
    <row r="19" spans="2:14" ht="24.75" customHeight="1">
      <c r="B19" s="39"/>
      <c r="C19" s="208">
        <v>2336.653</v>
      </c>
      <c r="D19" s="208">
        <v>2380.987</v>
      </c>
      <c r="E19" s="208">
        <v>2475.87</v>
      </c>
      <c r="F19" s="208">
        <v>452.4656</v>
      </c>
      <c r="G19" s="208">
        <v>452.4655616283028</v>
      </c>
      <c r="H19" s="208">
        <v>452.4655616283028</v>
      </c>
      <c r="I19" s="209"/>
      <c r="J19" s="209"/>
      <c r="K19" s="209"/>
      <c r="L19" s="209"/>
      <c r="M19" s="209"/>
      <c r="N19" s="209"/>
    </row>
    <row r="20" spans="3:14" ht="12.75">
      <c r="C20" s="158">
        <v>2091.907</v>
      </c>
      <c r="D20" s="158">
        <v>2131.596</v>
      </c>
      <c r="E20" s="158">
        <v>2216.541</v>
      </c>
      <c r="F20" s="158">
        <v>406.0458</v>
      </c>
      <c r="G20" s="158">
        <v>406.045760948724</v>
      </c>
      <c r="H20" s="158">
        <v>406.045760948724</v>
      </c>
      <c r="I20" s="209"/>
      <c r="J20" s="209"/>
      <c r="K20" s="209"/>
      <c r="L20" s="209"/>
      <c r="M20" s="209"/>
      <c r="N20" s="209"/>
    </row>
    <row r="21" spans="3:14" ht="12.75">
      <c r="C21" s="158">
        <v>1497.469</v>
      </c>
      <c r="D21" s="158">
        <v>1525.88</v>
      </c>
      <c r="E21" s="158">
        <v>1586.687</v>
      </c>
      <c r="F21" s="158">
        <v>1156.9309</v>
      </c>
      <c r="G21" s="158">
        <v>1156.9309378380112</v>
      </c>
      <c r="H21" s="158">
        <v>1156.9309378380112</v>
      </c>
      <c r="I21" s="209"/>
      <c r="J21" s="209"/>
      <c r="K21" s="209"/>
      <c r="L21" s="209"/>
      <c r="M21" s="209"/>
      <c r="N21" s="209"/>
    </row>
    <row r="22" spans="3:14" ht="12.75">
      <c r="C22" s="158">
        <v>585.998</v>
      </c>
      <c r="D22" s="158">
        <v>597.117</v>
      </c>
      <c r="E22" s="158">
        <v>620.913</v>
      </c>
      <c r="F22" s="158">
        <v>966.4856</v>
      </c>
      <c r="G22" s="158">
        <v>966.4853047822339</v>
      </c>
      <c r="H22" s="158">
        <v>966.4853047822339</v>
      </c>
      <c r="I22" s="209"/>
      <c r="J22" s="209"/>
      <c r="K22" s="209"/>
      <c r="L22" s="209"/>
      <c r="M22" s="209"/>
      <c r="N22" s="209"/>
    </row>
    <row r="23" spans="3:14" ht="12.75">
      <c r="C23" s="158">
        <v>1503.708</v>
      </c>
      <c r="D23" s="158">
        <v>1532.237</v>
      </c>
      <c r="E23" s="158">
        <v>1593.297</v>
      </c>
      <c r="F23" s="158">
        <v>720.3075</v>
      </c>
      <c r="G23" s="158">
        <v>720.3073492637827</v>
      </c>
      <c r="H23" s="158">
        <v>720.3073492637827</v>
      </c>
      <c r="I23" s="209"/>
      <c r="J23" s="209"/>
      <c r="K23" s="209"/>
      <c r="L23" s="209"/>
      <c r="M23" s="209"/>
      <c r="N23" s="209"/>
    </row>
    <row r="24" spans="3:14" ht="12.75">
      <c r="C24" s="158">
        <v>1713.228</v>
      </c>
      <c r="D24" s="158">
        <v>1745.733</v>
      </c>
      <c r="E24" s="158">
        <v>1815.301</v>
      </c>
      <c r="F24" s="158">
        <v>316.9179</v>
      </c>
      <c r="G24" s="158">
        <v>316.9187874154198</v>
      </c>
      <c r="H24" s="158">
        <v>316.9187874154198</v>
      </c>
      <c r="I24" s="209"/>
      <c r="J24" s="209"/>
      <c r="K24" s="209"/>
      <c r="L24" s="209"/>
      <c r="M24" s="209"/>
      <c r="N24" s="209"/>
    </row>
    <row r="25" spans="3:14" ht="12.75">
      <c r="C25" s="158">
        <v>813.132</v>
      </c>
      <c r="D25" s="158">
        <v>828.559</v>
      </c>
      <c r="E25" s="158">
        <v>861.578</v>
      </c>
      <c r="F25" s="158">
        <v>739.4078</v>
      </c>
      <c r="G25" s="158">
        <v>739.407747959265</v>
      </c>
      <c r="H25" s="158">
        <v>739.407747959265</v>
      </c>
      <c r="I25" s="209"/>
      <c r="J25" s="209"/>
      <c r="K25" s="209"/>
      <c r="L25" s="209"/>
      <c r="M25" s="209"/>
      <c r="N25" s="209"/>
    </row>
    <row r="26" spans="3:14" ht="12.75">
      <c r="C26" s="158">
        <v>1258.96</v>
      </c>
      <c r="D26" s="158">
        <v>1282.846</v>
      </c>
      <c r="E26" s="158">
        <v>1333.968</v>
      </c>
      <c r="F26" s="158">
        <v>241.4387</v>
      </c>
      <c r="G26" s="158">
        <v>241.43854039772023</v>
      </c>
      <c r="H26" s="158">
        <v>241.43854039772023</v>
      </c>
      <c r="I26" s="209"/>
      <c r="J26" s="209"/>
      <c r="K26" s="209"/>
      <c r="L26" s="209"/>
      <c r="M26" s="209"/>
      <c r="N26" s="209"/>
    </row>
    <row r="27" spans="3:14" ht="12.75">
      <c r="C27" s="158">
        <f aca="true" t="shared" si="3" ref="C27:H27">SUM(C19:C26)</f>
        <v>11801.055</v>
      </c>
      <c r="D27" s="158">
        <f t="shared" si="3"/>
        <v>12024.955</v>
      </c>
      <c r="E27" s="158">
        <f t="shared" si="3"/>
        <v>12504.155</v>
      </c>
      <c r="F27" s="158">
        <f t="shared" si="3"/>
        <v>4999.9998</v>
      </c>
      <c r="G27" s="158">
        <f t="shared" si="3"/>
        <v>4999.99999023346</v>
      </c>
      <c r="H27" s="158">
        <f t="shared" si="3"/>
        <v>4999.99999023346</v>
      </c>
      <c r="I27" s="209"/>
      <c r="J27" s="209"/>
      <c r="K27" s="209"/>
      <c r="L27" s="209"/>
      <c r="M27" s="209"/>
      <c r="N27" s="209"/>
    </row>
  </sheetData>
  <sheetProtection/>
  <mergeCells count="9">
    <mergeCell ref="A17:B17"/>
    <mergeCell ref="A18:B18"/>
    <mergeCell ref="C4:E4"/>
    <mergeCell ref="F4:H4"/>
    <mergeCell ref="A2:H2"/>
    <mergeCell ref="A4:A5"/>
    <mergeCell ref="B4:B5"/>
    <mergeCell ref="A16:C16"/>
    <mergeCell ref="F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5.25390625" style="37" customWidth="1"/>
    <col min="2" max="2" width="31.875" style="37" customWidth="1"/>
    <col min="3" max="8" width="13.375" style="37" customWidth="1"/>
    <col min="9" max="10" width="9.125" style="37" customWidth="1"/>
    <col min="11" max="11" width="10.875" style="37" bestFit="1" customWidth="1"/>
    <col min="12" max="16384" width="9.125" style="37" customWidth="1"/>
  </cols>
  <sheetData>
    <row r="1" spans="4:8" s="15" customFormat="1" ht="15.75">
      <c r="D1" s="16"/>
      <c r="G1" s="16"/>
      <c r="H1" s="16"/>
    </row>
    <row r="2" spans="1:8" s="15" customFormat="1" ht="42.75" customHeight="1">
      <c r="A2" s="267" t="s">
        <v>191</v>
      </c>
      <c r="B2" s="267"/>
      <c r="C2" s="267"/>
      <c r="D2" s="267"/>
      <c r="E2" s="267"/>
      <c r="F2" s="267"/>
      <c r="G2" s="267"/>
      <c r="H2" s="267"/>
    </row>
    <row r="3" spans="1:8" ht="12.75">
      <c r="A3" s="185"/>
      <c r="B3" s="185"/>
      <c r="C3" s="186"/>
      <c r="D3" s="186"/>
      <c r="E3" s="186"/>
      <c r="F3" s="186"/>
      <c r="G3" s="186"/>
      <c r="H3" s="187" t="s">
        <v>155</v>
      </c>
    </row>
    <row r="4" spans="1:8" s="51" customFormat="1" ht="64.5" customHeight="1">
      <c r="A4" s="278" t="s">
        <v>154</v>
      </c>
      <c r="B4" s="278" t="s">
        <v>151</v>
      </c>
      <c r="C4" s="275" t="s">
        <v>152</v>
      </c>
      <c r="D4" s="276"/>
      <c r="E4" s="277"/>
      <c r="F4" s="275" t="s">
        <v>153</v>
      </c>
      <c r="G4" s="276"/>
      <c r="H4" s="277"/>
    </row>
    <row r="5" spans="1:8" s="51" customFormat="1" ht="21" customHeight="1">
      <c r="A5" s="279"/>
      <c r="B5" s="280"/>
      <c r="C5" s="170" t="s">
        <v>160</v>
      </c>
      <c r="D5" s="170" t="s">
        <v>163</v>
      </c>
      <c r="E5" s="170" t="s">
        <v>181</v>
      </c>
      <c r="F5" s="170" t="s">
        <v>160</v>
      </c>
      <c r="G5" s="170" t="s">
        <v>163</v>
      </c>
      <c r="H5" s="170" t="s">
        <v>181</v>
      </c>
    </row>
    <row r="6" spans="1:11" ht="21" customHeight="1">
      <c r="A6" s="40">
        <v>1</v>
      </c>
      <c r="B6" s="41" t="s">
        <v>117</v>
      </c>
      <c r="C6" s="198">
        <f>+'субв от числ уточ'!D6</f>
        <v>2601.9235160982353</v>
      </c>
      <c r="D6" s="198">
        <f>+'субв от числ уточ'!E6</f>
        <v>2863.9948717737684</v>
      </c>
      <c r="E6" s="198">
        <f>+'субв от числ уточ'!F6</f>
        <v>3150.4654900250193</v>
      </c>
      <c r="F6" s="198">
        <f>+РФФПП!G5</f>
        <v>414.58843903403334</v>
      </c>
      <c r="G6" s="205">
        <f>+F6</f>
        <v>414.58843903403334</v>
      </c>
      <c r="H6" s="205">
        <f>+F6</f>
        <v>414.58843903403334</v>
      </c>
      <c r="K6" s="158"/>
    </row>
    <row r="7" spans="1:11" ht="21" customHeight="1">
      <c r="A7" s="40">
        <v>2</v>
      </c>
      <c r="B7" s="41" t="s">
        <v>118</v>
      </c>
      <c r="C7" s="198">
        <f>+'субв от числ уточ'!D7</f>
        <v>2304.8047684026865</v>
      </c>
      <c r="D7" s="198">
        <f>+'субв от числ уточ'!E7</f>
        <v>2536.9496821503817</v>
      </c>
      <c r="E7" s="198">
        <f>+'субв от числ уточ'!F7</f>
        <v>2790.707658842507</v>
      </c>
      <c r="F7" s="198">
        <f>+РФФПП!G6</f>
        <v>516.6854137983694</v>
      </c>
      <c r="G7" s="205">
        <f aca="true" t="shared" si="0" ref="G7:G13">+F7</f>
        <v>516.6854137983694</v>
      </c>
      <c r="H7" s="205">
        <f aca="true" t="shared" si="1" ref="H7:H13">+F7</f>
        <v>516.6854137983694</v>
      </c>
      <c r="K7" s="158"/>
    </row>
    <row r="8" spans="1:11" ht="21" customHeight="1">
      <c r="A8" s="40">
        <v>3</v>
      </c>
      <c r="B8" s="41" t="s">
        <v>119</v>
      </c>
      <c r="C8" s="198">
        <f>+'субв от числ уточ'!D8</f>
        <v>1660.1931922241242</v>
      </c>
      <c r="D8" s="198">
        <f>+'субв от числ уточ'!E8</f>
        <v>1827.4114862720567</v>
      </c>
      <c r="E8" s="198">
        <f>+'субв от числ уточ'!F8</f>
        <v>2010.198571075849</v>
      </c>
      <c r="F8" s="198">
        <f>+РФФПП!G7-0.00000976654</f>
        <v>1201.2824616987075</v>
      </c>
      <c r="G8" s="205">
        <f t="shared" si="0"/>
        <v>1201.2824616987075</v>
      </c>
      <c r="H8" s="205">
        <f t="shared" si="1"/>
        <v>1201.2824616987075</v>
      </c>
      <c r="K8" s="158"/>
    </row>
    <row r="9" spans="1:11" ht="21" customHeight="1">
      <c r="A9" s="40">
        <v>4</v>
      </c>
      <c r="B9" s="41" t="s">
        <v>120</v>
      </c>
      <c r="C9" s="198">
        <f>+'субв от числ уточ'!D9</f>
        <v>623.6932333091914</v>
      </c>
      <c r="D9" s="198">
        <f>+'субв от числ уточ'!E9</f>
        <v>686.5129627008164</v>
      </c>
      <c r="E9" s="198">
        <f>+'субв от числ уточ'!F9</f>
        <v>755.1813094219119</v>
      </c>
      <c r="F9" s="198">
        <f>+РФФПП!G8</f>
        <v>955.264616115694</v>
      </c>
      <c r="G9" s="205">
        <f t="shared" si="0"/>
        <v>955.264616115694</v>
      </c>
      <c r="H9" s="205">
        <f t="shared" si="1"/>
        <v>955.264616115694</v>
      </c>
      <c r="K9" s="158"/>
    </row>
    <row r="10" spans="1:11" ht="21" customHeight="1">
      <c r="A10" s="40">
        <v>5</v>
      </c>
      <c r="B10" s="41" t="s">
        <v>121</v>
      </c>
      <c r="C10" s="198">
        <f>+'субв от числ уточ'!D10</f>
        <v>1641.4103231169345</v>
      </c>
      <c r="D10" s="198">
        <f>+'субв от числ уточ'!E10</f>
        <v>1806.7367156636817</v>
      </c>
      <c r="E10" s="198">
        <f>+'субв от числ уточ'!F10</f>
        <v>1987.4552599091385</v>
      </c>
      <c r="F10" s="198">
        <f>+РФФПП!G9</f>
        <v>528.027554190281</v>
      </c>
      <c r="G10" s="205">
        <f t="shared" si="0"/>
        <v>528.027554190281</v>
      </c>
      <c r="H10" s="205">
        <f t="shared" si="1"/>
        <v>528.027554190281</v>
      </c>
      <c r="K10" s="158"/>
    </row>
    <row r="11" spans="1:11" ht="21" customHeight="1">
      <c r="A11" s="40">
        <v>6</v>
      </c>
      <c r="B11" s="41" t="s">
        <v>122</v>
      </c>
      <c r="C11" s="198">
        <f>+'субв от числ уточ'!D11</f>
        <v>1886.8748057677112</v>
      </c>
      <c r="D11" s="198">
        <f>+'субв от числ уточ'!E11</f>
        <v>2076.9249111140375</v>
      </c>
      <c r="E11" s="198">
        <f>+'субв от числ уточ'!F11</f>
        <v>2284.668985383197</v>
      </c>
      <c r="F11" s="198">
        <f>+РФФПП!G10</f>
        <v>276.93810524671704</v>
      </c>
      <c r="G11" s="205">
        <f t="shared" si="0"/>
        <v>276.93810524671704</v>
      </c>
      <c r="H11" s="205">
        <f t="shared" si="1"/>
        <v>276.93810524671704</v>
      </c>
      <c r="K11" s="158"/>
    </row>
    <row r="12" spans="1:11" ht="21" customHeight="1">
      <c r="A12" s="40">
        <v>7</v>
      </c>
      <c r="B12" s="41" t="s">
        <v>123</v>
      </c>
      <c r="C12" s="198">
        <f>+'субв от числ уточ'!D12</f>
        <v>869.5846107124045</v>
      </c>
      <c r="D12" s="198">
        <f>+'субв от числ уточ'!E12</f>
        <v>957.1710506649987</v>
      </c>
      <c r="E12" s="198">
        <f>+'субв от числ уточ'!F12</f>
        <v>1052.9119283315774</v>
      </c>
      <c r="F12" s="198">
        <f>+РФФПП!G11</f>
        <v>800.2895748196354</v>
      </c>
      <c r="G12" s="205">
        <f t="shared" si="0"/>
        <v>800.2895748196354</v>
      </c>
      <c r="H12" s="205">
        <f t="shared" si="1"/>
        <v>800.2895748196354</v>
      </c>
      <c r="K12" s="158"/>
    </row>
    <row r="13" spans="1:11" ht="21" customHeight="1">
      <c r="A13" s="40">
        <v>8</v>
      </c>
      <c r="B13" s="41" t="s">
        <v>124</v>
      </c>
      <c r="C13" s="198">
        <f>+'субв от числ уточ'!D13</f>
        <v>1378.870050368712</v>
      </c>
      <c r="D13" s="198">
        <f>+'субв от числ уточ'!E13</f>
        <v>1517.752819660258</v>
      </c>
      <c r="E13" s="198">
        <f>+'субв от числ уточ'!F13</f>
        <v>1669.5657970107977</v>
      </c>
      <c r="F13" s="198">
        <f>+РФФПП!G12</f>
        <v>306.9240253300226</v>
      </c>
      <c r="G13" s="205">
        <f t="shared" si="0"/>
        <v>306.9240253300226</v>
      </c>
      <c r="H13" s="205">
        <f t="shared" si="1"/>
        <v>306.9240253300226</v>
      </c>
      <c r="K13" s="158"/>
    </row>
    <row r="14" spans="1:11" ht="21" customHeight="1">
      <c r="A14" s="40"/>
      <c r="B14" s="44" t="s">
        <v>14</v>
      </c>
      <c r="C14" s="207">
        <f aca="true" t="shared" si="2" ref="C14:H14">SUM(C6:C13)</f>
        <v>12967.3545</v>
      </c>
      <c r="D14" s="207">
        <f t="shared" si="2"/>
        <v>14273.454499999998</v>
      </c>
      <c r="E14" s="207">
        <f t="shared" si="2"/>
        <v>15701.154999999999</v>
      </c>
      <c r="F14" s="207">
        <f t="shared" si="2"/>
        <v>5000.00019023346</v>
      </c>
      <c r="G14" s="207">
        <f t="shared" si="2"/>
        <v>5000.00019023346</v>
      </c>
      <c r="H14" s="207">
        <f t="shared" si="2"/>
        <v>5000.00019023346</v>
      </c>
      <c r="K14" s="158"/>
    </row>
    <row r="15" spans="1:11" ht="21" customHeight="1">
      <c r="A15" s="219"/>
      <c r="B15" s="220"/>
      <c r="C15" s="221"/>
      <c r="D15" s="221"/>
      <c r="E15" s="221"/>
      <c r="F15" s="221"/>
      <c r="G15" s="221"/>
      <c r="H15" s="221"/>
      <c r="K15" s="158"/>
    </row>
    <row r="16" spans="1:11" s="223" customFormat="1" ht="21" customHeight="1">
      <c r="A16" s="281" t="s">
        <v>197</v>
      </c>
      <c r="B16" s="281"/>
      <c r="C16" s="281"/>
      <c r="D16" s="222"/>
      <c r="E16" s="222"/>
      <c r="F16" s="282" t="s">
        <v>198</v>
      </c>
      <c r="G16" s="282"/>
      <c r="H16" s="282"/>
      <c r="K16" s="224"/>
    </row>
    <row r="17" spans="1:11" ht="54" customHeight="1">
      <c r="A17" s="274" t="s">
        <v>199</v>
      </c>
      <c r="B17" s="274"/>
      <c r="C17" s="221"/>
      <c r="D17" s="221"/>
      <c r="E17" s="221"/>
      <c r="F17" s="221"/>
      <c r="G17" s="221"/>
      <c r="H17" s="221"/>
      <c r="K17" s="158"/>
    </row>
    <row r="18" spans="1:11" ht="12.75">
      <c r="A18" s="274" t="s">
        <v>200</v>
      </c>
      <c r="B18" s="274"/>
      <c r="C18" s="221"/>
      <c r="D18" s="221"/>
      <c r="E18" s="221"/>
      <c r="F18" s="221"/>
      <c r="G18" s="221"/>
      <c r="H18" s="221"/>
      <c r="K18" s="158"/>
    </row>
    <row r="19" spans="2:14" ht="24.75" customHeight="1">
      <c r="B19" s="39"/>
      <c r="C19" s="208">
        <v>2336.653</v>
      </c>
      <c r="D19" s="208">
        <v>2380.987</v>
      </c>
      <c r="E19" s="208">
        <v>2475.87</v>
      </c>
      <c r="F19" s="208">
        <v>452.4656</v>
      </c>
      <c r="G19" s="208">
        <v>452.4655616283028</v>
      </c>
      <c r="H19" s="208">
        <v>452.4655616283028</v>
      </c>
      <c r="I19" s="209"/>
      <c r="J19" s="209"/>
      <c r="K19" s="209"/>
      <c r="L19" s="209"/>
      <c r="M19" s="209"/>
      <c r="N19" s="209"/>
    </row>
    <row r="20" spans="3:14" ht="12.75">
      <c r="C20" s="158">
        <v>2091.907</v>
      </c>
      <c r="D20" s="158">
        <v>2131.596</v>
      </c>
      <c r="E20" s="158">
        <v>2216.541</v>
      </c>
      <c r="F20" s="158">
        <v>406.0458</v>
      </c>
      <c r="G20" s="158">
        <v>406.045760948724</v>
      </c>
      <c r="H20" s="158">
        <v>406.045760948724</v>
      </c>
      <c r="I20" s="209"/>
      <c r="J20" s="209"/>
      <c r="K20" s="209"/>
      <c r="L20" s="209"/>
      <c r="M20" s="209"/>
      <c r="N20" s="209"/>
    </row>
    <row r="21" spans="3:14" ht="12.75">
      <c r="C21" s="158">
        <v>1497.469</v>
      </c>
      <c r="D21" s="158">
        <v>1525.88</v>
      </c>
      <c r="E21" s="158">
        <v>1586.687</v>
      </c>
      <c r="F21" s="158">
        <v>1156.9309</v>
      </c>
      <c r="G21" s="158">
        <v>1156.9309378380112</v>
      </c>
      <c r="H21" s="158">
        <v>1156.9309378380112</v>
      </c>
      <c r="I21" s="209"/>
      <c r="J21" s="209"/>
      <c r="K21" s="209"/>
      <c r="L21" s="209"/>
      <c r="M21" s="209"/>
      <c r="N21" s="209"/>
    </row>
    <row r="22" spans="3:14" ht="12.75">
      <c r="C22" s="158">
        <v>585.998</v>
      </c>
      <c r="D22" s="158">
        <v>597.117</v>
      </c>
      <c r="E22" s="158">
        <v>620.913</v>
      </c>
      <c r="F22" s="158">
        <v>966.4856</v>
      </c>
      <c r="G22" s="158">
        <v>966.4853047822339</v>
      </c>
      <c r="H22" s="158">
        <v>966.4853047822339</v>
      </c>
      <c r="I22" s="209"/>
      <c r="J22" s="209"/>
      <c r="K22" s="209"/>
      <c r="L22" s="209"/>
      <c r="M22" s="209"/>
      <c r="N22" s="209"/>
    </row>
    <row r="23" spans="3:14" ht="12.75">
      <c r="C23" s="158">
        <v>1503.708</v>
      </c>
      <c r="D23" s="158">
        <v>1532.237</v>
      </c>
      <c r="E23" s="158">
        <v>1593.297</v>
      </c>
      <c r="F23" s="158">
        <v>720.3075</v>
      </c>
      <c r="G23" s="158">
        <v>720.3073492637827</v>
      </c>
      <c r="H23" s="158">
        <v>720.3073492637827</v>
      </c>
      <c r="I23" s="209"/>
      <c r="J23" s="209"/>
      <c r="K23" s="209"/>
      <c r="L23" s="209"/>
      <c r="M23" s="209"/>
      <c r="N23" s="209"/>
    </row>
    <row r="24" spans="3:14" ht="12.75">
      <c r="C24" s="158">
        <v>1713.228</v>
      </c>
      <c r="D24" s="158">
        <v>1745.733</v>
      </c>
      <c r="E24" s="158">
        <v>1815.301</v>
      </c>
      <c r="F24" s="158">
        <v>316.9179</v>
      </c>
      <c r="G24" s="158">
        <v>316.9187874154198</v>
      </c>
      <c r="H24" s="158">
        <v>316.9187874154198</v>
      </c>
      <c r="I24" s="209"/>
      <c r="J24" s="209"/>
      <c r="K24" s="209"/>
      <c r="L24" s="209"/>
      <c r="M24" s="209"/>
      <c r="N24" s="209"/>
    </row>
    <row r="25" spans="3:14" ht="12.75">
      <c r="C25" s="158">
        <v>813.132</v>
      </c>
      <c r="D25" s="158">
        <v>828.559</v>
      </c>
      <c r="E25" s="158">
        <v>861.578</v>
      </c>
      <c r="F25" s="158">
        <v>739.4078</v>
      </c>
      <c r="G25" s="158">
        <v>739.407747959265</v>
      </c>
      <c r="H25" s="158">
        <v>739.407747959265</v>
      </c>
      <c r="I25" s="209"/>
      <c r="J25" s="209"/>
      <c r="K25" s="209"/>
      <c r="L25" s="209"/>
      <c r="M25" s="209"/>
      <c r="N25" s="209"/>
    </row>
    <row r="26" spans="3:14" ht="12.75">
      <c r="C26" s="158">
        <v>1258.96</v>
      </c>
      <c r="D26" s="158">
        <v>1282.846</v>
      </c>
      <c r="E26" s="158">
        <v>1333.968</v>
      </c>
      <c r="F26" s="158">
        <v>241.4387</v>
      </c>
      <c r="G26" s="158">
        <v>241.43854039772023</v>
      </c>
      <c r="H26" s="158">
        <v>241.43854039772023</v>
      </c>
      <c r="I26" s="209"/>
      <c r="J26" s="209"/>
      <c r="K26" s="209"/>
      <c r="L26" s="209"/>
      <c r="M26" s="209"/>
      <c r="N26" s="209"/>
    </row>
    <row r="27" spans="3:14" ht="12.75">
      <c r="C27" s="158">
        <f aca="true" t="shared" si="3" ref="C27:H27">SUM(C19:C26)</f>
        <v>11801.055</v>
      </c>
      <c r="D27" s="158">
        <f t="shared" si="3"/>
        <v>12024.955</v>
      </c>
      <c r="E27" s="158">
        <f t="shared" si="3"/>
        <v>12504.155</v>
      </c>
      <c r="F27" s="158">
        <f t="shared" si="3"/>
        <v>4999.9998</v>
      </c>
      <c r="G27" s="158">
        <f t="shared" si="3"/>
        <v>4999.99999023346</v>
      </c>
      <c r="H27" s="158">
        <f t="shared" si="3"/>
        <v>4999.99999023346</v>
      </c>
      <c r="I27" s="209"/>
      <c r="J27" s="209"/>
      <c r="K27" s="209"/>
      <c r="L27" s="209"/>
      <c r="M27" s="209"/>
      <c r="N27" s="209"/>
    </row>
  </sheetData>
  <sheetProtection/>
  <mergeCells count="9">
    <mergeCell ref="A17:B17"/>
    <mergeCell ref="A18:B18"/>
    <mergeCell ref="A2:H2"/>
    <mergeCell ref="A4:A5"/>
    <mergeCell ref="B4:B5"/>
    <mergeCell ref="C4:E4"/>
    <mergeCell ref="F4:H4"/>
    <mergeCell ref="A16:C16"/>
    <mergeCell ref="F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375" style="37" customWidth="1"/>
    <col min="2" max="2" width="41.875" style="37" customWidth="1"/>
    <col min="3" max="4" width="21.625" style="37" customWidth="1"/>
    <col min="5" max="5" width="14.375" style="37" customWidth="1"/>
    <col min="6" max="6" width="13.25390625" style="37" customWidth="1"/>
    <col min="7" max="16384" width="9.125" style="37" customWidth="1"/>
  </cols>
  <sheetData>
    <row r="1" spans="1:4" ht="15.75">
      <c r="A1" s="15"/>
      <c r="B1" s="15"/>
      <c r="C1" s="15"/>
      <c r="D1" s="55" t="s">
        <v>140</v>
      </c>
    </row>
    <row r="2" spans="1:4" ht="67.5" customHeight="1">
      <c r="A2" s="232" t="s">
        <v>165</v>
      </c>
      <c r="B2" s="232"/>
      <c r="C2" s="232"/>
      <c r="D2" s="232"/>
    </row>
    <row r="3" ht="27.75" customHeight="1"/>
    <row r="4" spans="1:6" s="54" customFormat="1" ht="51">
      <c r="A4" s="52" t="s">
        <v>0</v>
      </c>
      <c r="B4" s="52" t="s">
        <v>1</v>
      </c>
      <c r="C4" s="52" t="s">
        <v>12</v>
      </c>
      <c r="D4" s="52" t="s">
        <v>61</v>
      </c>
      <c r="E4" s="53"/>
      <c r="F4" s="53"/>
    </row>
    <row r="5" spans="1:4" ht="18.75" customHeight="1">
      <c r="A5" s="40">
        <v>1</v>
      </c>
      <c r="B5" s="41" t="s">
        <v>117</v>
      </c>
      <c r="C5" s="42">
        <v>6095</v>
      </c>
      <c r="D5" s="43">
        <f>(0.6*C5+0.4*C14)/C5</f>
        <v>0.8491878589007383</v>
      </c>
    </row>
    <row r="6" spans="1:4" ht="18.75" customHeight="1">
      <c r="A6" s="40">
        <v>2</v>
      </c>
      <c r="B6" s="41" t="s">
        <v>118</v>
      </c>
      <c r="C6" s="42">
        <v>5399</v>
      </c>
      <c r="D6" s="43">
        <f>(0.6*C6+0.4*C14)/C6</f>
        <v>0.8813113539544362</v>
      </c>
    </row>
    <row r="7" spans="1:4" ht="18.75" customHeight="1">
      <c r="A7" s="40">
        <v>3</v>
      </c>
      <c r="B7" s="41" t="s">
        <v>119</v>
      </c>
      <c r="C7" s="42">
        <v>3889</v>
      </c>
      <c r="D7" s="43">
        <f>(0.6*C7+0.4*C14)/C7</f>
        <v>0.9905374132167653</v>
      </c>
    </row>
    <row r="8" spans="1:4" ht="18.75" customHeight="1">
      <c r="A8" s="40">
        <v>4</v>
      </c>
      <c r="B8" s="41" t="s">
        <v>120</v>
      </c>
      <c r="C8" s="42">
        <v>1461</v>
      </c>
      <c r="D8" s="43">
        <f>(0.6*C8+0.4*C14)/C8</f>
        <v>1.639561943874059</v>
      </c>
    </row>
    <row r="9" spans="1:4" ht="18.75" customHeight="1">
      <c r="A9" s="40">
        <v>5</v>
      </c>
      <c r="B9" s="41" t="s">
        <v>121</v>
      </c>
      <c r="C9" s="42">
        <v>3845</v>
      </c>
      <c r="D9" s="43">
        <f>(0.6*C9+0.4*C14)/C9</f>
        <v>0.9950065019505853</v>
      </c>
    </row>
    <row r="10" spans="1:4" ht="18.75" customHeight="1">
      <c r="A10" s="40">
        <v>6</v>
      </c>
      <c r="B10" s="41" t="s">
        <v>122</v>
      </c>
      <c r="C10" s="42">
        <v>4420</v>
      </c>
      <c r="D10" s="43">
        <f>(0.6*C10+0.4*C14)/C10</f>
        <v>0.9436199095022625</v>
      </c>
    </row>
    <row r="11" spans="1:4" ht="18.75" customHeight="1">
      <c r="A11" s="40">
        <v>7</v>
      </c>
      <c r="B11" s="41" t="s">
        <v>123</v>
      </c>
      <c r="C11" s="42">
        <v>2037</v>
      </c>
      <c r="D11" s="43">
        <f>(0.6*C11+0.4*C14)/C11</f>
        <v>1.3456062837506138</v>
      </c>
    </row>
    <row r="12" spans="1:4" ht="18.75" customHeight="1">
      <c r="A12" s="40">
        <v>8</v>
      </c>
      <c r="B12" s="41" t="s">
        <v>124</v>
      </c>
      <c r="C12" s="42">
        <v>3230</v>
      </c>
      <c r="D12" s="43">
        <f>(0.6*C12+0.4*C14)/C12</f>
        <v>1.0702167182662539</v>
      </c>
    </row>
    <row r="13" spans="1:4" ht="18.75" customHeight="1">
      <c r="A13" s="40"/>
      <c r="B13" s="44" t="s">
        <v>63</v>
      </c>
      <c r="C13" s="45">
        <f>SUM(C5:C12)</f>
        <v>30376</v>
      </c>
      <c r="D13" s="46">
        <f>(0.6*C13+0.4*C14)/C13</f>
        <v>0.6499999999999999</v>
      </c>
    </row>
    <row r="14" spans="1:4" ht="18.75" customHeight="1">
      <c r="A14" s="40"/>
      <c r="B14" s="44" t="s">
        <v>2</v>
      </c>
      <c r="C14" s="47">
        <f>C13/8</f>
        <v>3797</v>
      </c>
      <c r="D14" s="40"/>
    </row>
    <row r="15" ht="12.75">
      <c r="B15" s="39"/>
    </row>
    <row r="16" ht="20.25" customHeight="1">
      <c r="B16" s="39"/>
    </row>
  </sheetData>
  <sheetProtection/>
  <mergeCells count="1">
    <mergeCell ref="A2:D2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3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25390625" style="37" customWidth="1"/>
    <col min="2" max="2" width="35.25390625" style="37" customWidth="1"/>
    <col min="3" max="3" width="18.00390625" style="37" customWidth="1"/>
    <col min="4" max="4" width="16.00390625" style="37" customWidth="1"/>
    <col min="5" max="16384" width="9.125" style="37" customWidth="1"/>
  </cols>
  <sheetData>
    <row r="1" spans="1:4" ht="15.75">
      <c r="A1" s="15"/>
      <c r="B1" s="15"/>
      <c r="C1" s="15"/>
      <c r="D1" s="55" t="s">
        <v>141</v>
      </c>
    </row>
    <row r="2" spans="1:4" ht="15.75">
      <c r="A2" s="15"/>
      <c r="B2" s="15"/>
      <c r="C2" s="15"/>
      <c r="D2" s="15"/>
    </row>
    <row r="3" spans="1:4" ht="79.5" customHeight="1">
      <c r="A3" s="233" t="s">
        <v>166</v>
      </c>
      <c r="B3" s="233"/>
      <c r="C3" s="233"/>
      <c r="D3" s="233"/>
    </row>
    <row r="4" spans="1:4" ht="12.75">
      <c r="A4" s="67"/>
      <c r="B4" s="67"/>
      <c r="C4" s="67"/>
      <c r="D4" s="67"/>
    </row>
    <row r="5" spans="1:4" s="51" customFormat="1" ht="50.25" customHeight="1">
      <c r="A5" s="57" t="s">
        <v>16</v>
      </c>
      <c r="B5" s="57" t="s">
        <v>15</v>
      </c>
      <c r="C5" s="52" t="s">
        <v>167</v>
      </c>
      <c r="D5" s="52" t="s">
        <v>60</v>
      </c>
    </row>
    <row r="6" spans="1:4" ht="12.75">
      <c r="A6" s="47">
        <v>1</v>
      </c>
      <c r="B6" s="41" t="s">
        <v>117</v>
      </c>
      <c r="C6" s="58">
        <v>6095</v>
      </c>
      <c r="D6" s="59">
        <f>(D7/C6)+1</f>
        <v>1.1530762920426578</v>
      </c>
    </row>
    <row r="7" spans="1:4" ht="12.75">
      <c r="A7" s="47"/>
      <c r="B7" s="41"/>
      <c r="C7" s="58"/>
      <c r="D7" s="58">
        <v>933</v>
      </c>
    </row>
    <row r="8" spans="1:4" ht="12.75">
      <c r="A8" s="47">
        <v>2</v>
      </c>
      <c r="B8" s="41" t="s">
        <v>118</v>
      </c>
      <c r="C8" s="58">
        <v>5399</v>
      </c>
      <c r="D8" s="59">
        <f>(D9/C8)+1</f>
        <v>1.0392665308390443</v>
      </c>
    </row>
    <row r="9" spans="1:4" ht="12.75">
      <c r="A9" s="47"/>
      <c r="B9" s="41"/>
      <c r="C9" s="58"/>
      <c r="D9" s="58">
        <v>212</v>
      </c>
    </row>
    <row r="10" spans="1:4" ht="12.75">
      <c r="A10" s="47">
        <v>3</v>
      </c>
      <c r="B10" s="41" t="s">
        <v>119</v>
      </c>
      <c r="C10" s="58">
        <v>3889</v>
      </c>
      <c r="D10" s="59">
        <f>(D11/C10)+1</f>
        <v>1.3731036256106968</v>
      </c>
    </row>
    <row r="11" spans="1:4" ht="12.75">
      <c r="A11" s="47"/>
      <c r="B11" s="41"/>
      <c r="C11" s="58"/>
      <c r="D11" s="58">
        <f>296+362+150+286+357</f>
        <v>1451</v>
      </c>
    </row>
    <row r="12" spans="1:4" ht="12.75">
      <c r="A12" s="47">
        <v>4</v>
      </c>
      <c r="B12" s="41" t="s">
        <v>120</v>
      </c>
      <c r="C12" s="58">
        <v>1461</v>
      </c>
      <c r="D12" s="59">
        <f>(D13/C12)+1</f>
        <v>1.5078713210130048</v>
      </c>
    </row>
    <row r="13" spans="1:4" ht="12.75">
      <c r="A13" s="47"/>
      <c r="B13" s="41"/>
      <c r="C13" s="58"/>
      <c r="D13" s="58">
        <f>143+160+221+63+14+58+34+49</f>
        <v>742</v>
      </c>
    </row>
    <row r="14" spans="1:4" ht="12.75">
      <c r="A14" s="47">
        <v>5</v>
      </c>
      <c r="B14" s="41" t="s">
        <v>121</v>
      </c>
      <c r="C14" s="58">
        <v>3845</v>
      </c>
      <c r="D14" s="59">
        <f>(D15/C14)+1</f>
        <v>1.1334200260078022</v>
      </c>
    </row>
    <row r="15" spans="1:4" ht="12.75">
      <c r="A15" s="47"/>
      <c r="B15" s="41"/>
      <c r="C15" s="58"/>
      <c r="D15" s="58">
        <f>66+250+197</f>
        <v>513</v>
      </c>
    </row>
    <row r="16" spans="1:4" ht="12.75">
      <c r="A16" s="47">
        <v>6</v>
      </c>
      <c r="B16" s="41" t="s">
        <v>122</v>
      </c>
      <c r="C16" s="58">
        <v>4420</v>
      </c>
      <c r="D16" s="59">
        <f>(D17/C16)+1</f>
        <v>1.3423076923076924</v>
      </c>
    </row>
    <row r="17" spans="1:4" ht="12.75">
      <c r="A17" s="47"/>
      <c r="B17" s="41"/>
      <c r="C17" s="58"/>
      <c r="D17" s="58">
        <f>256+242+335+236+223+221</f>
        <v>1513</v>
      </c>
    </row>
    <row r="18" spans="1:4" ht="12.75">
      <c r="A18" s="47">
        <v>7</v>
      </c>
      <c r="B18" s="41" t="s">
        <v>123</v>
      </c>
      <c r="C18" s="58">
        <v>2037</v>
      </c>
      <c r="D18" s="59">
        <f>(D19/C18)+1</f>
        <v>1.076092292587138</v>
      </c>
    </row>
    <row r="19" spans="1:4" ht="12.75">
      <c r="A19" s="47"/>
      <c r="B19" s="41"/>
      <c r="C19" s="58"/>
      <c r="D19" s="58">
        <f>141+14</f>
        <v>155</v>
      </c>
    </row>
    <row r="20" spans="1:4" ht="12.75">
      <c r="A20" s="47">
        <v>8</v>
      </c>
      <c r="B20" s="41" t="s">
        <v>124</v>
      </c>
      <c r="C20" s="58">
        <v>3230</v>
      </c>
      <c r="D20" s="59">
        <f>(D21/C20)+1</f>
        <v>1.16656346749226</v>
      </c>
    </row>
    <row r="21" spans="1:4" ht="12.75">
      <c r="A21" s="47"/>
      <c r="B21" s="47"/>
      <c r="C21" s="44"/>
      <c r="D21" s="58">
        <f>115+148+73+31+171</f>
        <v>538</v>
      </c>
    </row>
    <row r="22" spans="1:4" ht="12.75" hidden="1">
      <c r="A22" s="47"/>
      <c r="B22" s="47"/>
      <c r="C22" s="44"/>
      <c r="D22" s="44"/>
    </row>
    <row r="23" spans="1:4" ht="12.75" hidden="1">
      <c r="A23" s="47"/>
      <c r="B23" s="47"/>
      <c r="C23" s="44"/>
      <c r="D23" s="44"/>
    </row>
    <row r="24" spans="1:4" ht="12.75" hidden="1">
      <c r="A24" s="47"/>
      <c r="B24" s="47"/>
      <c r="C24" s="44"/>
      <c r="D24" s="44"/>
    </row>
    <row r="25" spans="1:4" ht="12.75" hidden="1">
      <c r="A25" s="47"/>
      <c r="B25" s="47"/>
      <c r="C25" s="44"/>
      <c r="D25" s="44"/>
    </row>
    <row r="26" spans="1:4" ht="12.75" hidden="1">
      <c r="A26" s="47"/>
      <c r="B26" s="47"/>
      <c r="C26" s="44"/>
      <c r="D26" s="44"/>
    </row>
    <row r="27" spans="1:4" ht="12.75" hidden="1">
      <c r="A27" s="47"/>
      <c r="B27" s="47"/>
      <c r="C27" s="44"/>
      <c r="D27" s="44"/>
    </row>
    <row r="28" spans="1:4" ht="12.75" hidden="1">
      <c r="A28" s="47"/>
      <c r="B28" s="47"/>
      <c r="C28" s="44"/>
      <c r="D28" s="44"/>
    </row>
    <row r="29" spans="1:4" ht="12.75" hidden="1">
      <c r="A29" s="47"/>
      <c r="B29" s="47"/>
      <c r="C29" s="44"/>
      <c r="D29" s="44"/>
    </row>
    <row r="30" spans="1:4" ht="12.75" hidden="1">
      <c r="A30" s="47"/>
      <c r="B30" s="47"/>
      <c r="C30" s="44"/>
      <c r="D30" s="44"/>
    </row>
    <row r="31" spans="1:4" ht="12.75" hidden="1">
      <c r="A31" s="47"/>
      <c r="B31" s="47"/>
      <c r="C31" s="44"/>
      <c r="D31" s="44"/>
    </row>
    <row r="32" spans="1:4" ht="12.75" hidden="1">
      <c r="A32" s="47"/>
      <c r="B32" s="47"/>
      <c r="C32" s="44"/>
      <c r="D32" s="44"/>
    </row>
    <row r="33" spans="1:4" ht="12.75" hidden="1">
      <c r="A33" s="47"/>
      <c r="B33" s="47"/>
      <c r="C33" s="44"/>
      <c r="D33" s="44"/>
    </row>
    <row r="34" spans="1:4" ht="12.75" hidden="1">
      <c r="A34" s="47"/>
      <c r="B34" s="47"/>
      <c r="C34" s="44"/>
      <c r="D34" s="44"/>
    </row>
    <row r="35" spans="1:4" ht="12.75" hidden="1">
      <c r="A35" s="47"/>
      <c r="B35" s="47"/>
      <c r="C35" s="44"/>
      <c r="D35" s="44"/>
    </row>
    <row r="36" spans="1:4" ht="12.75" hidden="1">
      <c r="A36" s="47"/>
      <c r="B36" s="47"/>
      <c r="C36" s="44"/>
      <c r="D36" s="44"/>
    </row>
    <row r="37" spans="1:4" ht="12.75" hidden="1">
      <c r="A37" s="47"/>
      <c r="B37" s="47"/>
      <c r="C37" s="44"/>
      <c r="D37" s="44"/>
    </row>
    <row r="38" spans="1:4" ht="12.75" hidden="1">
      <c r="A38" s="47">
        <v>1</v>
      </c>
      <c r="B38" s="47" t="s">
        <v>3</v>
      </c>
      <c r="C38" s="47">
        <f>C39+C40+C41</f>
        <v>12741</v>
      </c>
      <c r="D38" s="60">
        <f>(D39/C38)+1</f>
        <v>1.0166391962954242</v>
      </c>
    </row>
    <row r="39" spans="1:4" ht="12.75" hidden="1">
      <c r="A39" s="40"/>
      <c r="B39" s="61" t="s">
        <v>23</v>
      </c>
      <c r="C39" s="40">
        <v>11492</v>
      </c>
      <c r="D39" s="40">
        <f>C41</f>
        <v>212</v>
      </c>
    </row>
    <row r="40" spans="1:4" ht="12.75" hidden="1">
      <c r="A40" s="40"/>
      <c r="B40" s="40" t="s">
        <v>17</v>
      </c>
      <c r="C40" s="40">
        <v>1037</v>
      </c>
      <c r="D40" s="40"/>
    </row>
    <row r="41" spans="1:4" ht="12.75" hidden="1">
      <c r="A41" s="40"/>
      <c r="B41" s="40" t="s">
        <v>62</v>
      </c>
      <c r="C41" s="40">
        <v>212</v>
      </c>
      <c r="D41" s="40"/>
    </row>
    <row r="42" spans="1:4" ht="12.75" hidden="1">
      <c r="A42" s="47">
        <v>2</v>
      </c>
      <c r="B42" s="47" t="s">
        <v>4</v>
      </c>
      <c r="C42" s="47">
        <f>C43+C44+C45</f>
        <v>7900</v>
      </c>
      <c r="D42" s="47">
        <v>1</v>
      </c>
    </row>
    <row r="43" spans="1:4" ht="12.75" hidden="1">
      <c r="A43" s="40"/>
      <c r="B43" s="61" t="s">
        <v>25</v>
      </c>
      <c r="C43" s="40">
        <v>6161</v>
      </c>
      <c r="D43" s="40"/>
    </row>
    <row r="44" spans="1:4" ht="12.75" hidden="1">
      <c r="A44" s="40"/>
      <c r="B44" s="40" t="s">
        <v>18</v>
      </c>
      <c r="C44" s="40">
        <v>1170</v>
      </c>
      <c r="D44" s="40"/>
    </row>
    <row r="45" spans="1:4" ht="12.75" hidden="1">
      <c r="A45" s="40"/>
      <c r="B45" s="40" t="s">
        <v>19</v>
      </c>
      <c r="C45" s="40">
        <v>569</v>
      </c>
      <c r="D45" s="40"/>
    </row>
    <row r="46" spans="1:4" ht="12.75" hidden="1">
      <c r="A46" s="47">
        <v>3</v>
      </c>
      <c r="B46" s="47" t="s">
        <v>5</v>
      </c>
      <c r="C46" s="47">
        <f>C47+C48+C49+C50+C51+C52+C53+C54+C55</f>
        <v>1747</v>
      </c>
      <c r="D46" s="60">
        <f>(D47/C46)+1</f>
        <v>2</v>
      </c>
    </row>
    <row r="47" spans="1:4" ht="12.75" hidden="1">
      <c r="A47" s="40"/>
      <c r="B47" s="40" t="s">
        <v>20</v>
      </c>
      <c r="C47" s="40">
        <v>338</v>
      </c>
      <c r="D47" s="40">
        <f>C47+C48+C49+C50+C51+C53+C54+C55+C52</f>
        <v>1747</v>
      </c>
    </row>
    <row r="48" spans="1:4" ht="12.75" hidden="1">
      <c r="A48" s="40"/>
      <c r="B48" s="40" t="s">
        <v>21</v>
      </c>
      <c r="C48" s="40">
        <v>32</v>
      </c>
      <c r="D48" s="40"/>
    </row>
    <row r="49" spans="1:4" ht="12.75" hidden="1">
      <c r="A49" s="40"/>
      <c r="B49" s="40" t="s">
        <v>22</v>
      </c>
      <c r="C49" s="40">
        <v>43</v>
      </c>
      <c r="D49" s="40"/>
    </row>
    <row r="50" spans="1:4" ht="12.75" hidden="1">
      <c r="A50" s="40"/>
      <c r="B50" s="61" t="s">
        <v>24</v>
      </c>
      <c r="C50" s="40">
        <v>374</v>
      </c>
      <c r="D50" s="40"/>
    </row>
    <row r="51" spans="1:4" ht="12.75" hidden="1">
      <c r="A51" s="40"/>
      <c r="B51" s="40" t="s">
        <v>26</v>
      </c>
      <c r="C51" s="40">
        <v>324</v>
      </c>
      <c r="D51" s="40"/>
    </row>
    <row r="52" spans="1:4" ht="12.75" hidden="1">
      <c r="A52" s="40"/>
      <c r="B52" s="40" t="s">
        <v>27</v>
      </c>
      <c r="C52" s="40">
        <v>504</v>
      </c>
      <c r="D52" s="40"/>
    </row>
    <row r="53" spans="1:4" ht="12.75" hidden="1">
      <c r="A53" s="40"/>
      <c r="B53" s="40" t="s">
        <v>28</v>
      </c>
      <c r="C53" s="40">
        <v>112</v>
      </c>
      <c r="D53" s="40"/>
    </row>
    <row r="54" spans="1:4" ht="12.75" hidden="1">
      <c r="A54" s="40"/>
      <c r="B54" s="40" t="s">
        <v>29</v>
      </c>
      <c r="C54" s="40">
        <v>18</v>
      </c>
      <c r="D54" s="40"/>
    </row>
    <row r="55" spans="1:4" ht="12.75" hidden="1">
      <c r="A55" s="40"/>
      <c r="B55" s="40" t="s">
        <v>30</v>
      </c>
      <c r="C55" s="40">
        <v>2</v>
      </c>
      <c r="D55" s="40"/>
    </row>
    <row r="56" spans="1:4" ht="12.75" hidden="1">
      <c r="A56" s="47">
        <v>4</v>
      </c>
      <c r="B56" s="47" t="s">
        <v>6</v>
      </c>
      <c r="C56" s="47">
        <f>C57+C58+C59+C60+C61+C62</f>
        <v>1456</v>
      </c>
      <c r="D56" s="60">
        <f>(D57/C56)+1</f>
        <v>1.6146978021978022</v>
      </c>
    </row>
    <row r="57" spans="1:4" ht="12.75" hidden="1">
      <c r="A57" s="40"/>
      <c r="B57" s="61" t="s">
        <v>31</v>
      </c>
      <c r="C57" s="40">
        <v>561</v>
      </c>
      <c r="D57" s="40">
        <f>C58+C59+C60+C61+C62</f>
        <v>895</v>
      </c>
    </row>
    <row r="58" spans="1:4" ht="12.75" hidden="1">
      <c r="A58" s="40"/>
      <c r="B58" s="40" t="s">
        <v>32</v>
      </c>
      <c r="C58" s="40">
        <v>394</v>
      </c>
      <c r="D58" s="40"/>
    </row>
    <row r="59" spans="1:4" ht="12.75" hidden="1">
      <c r="A59" s="40"/>
      <c r="B59" s="40" t="s">
        <v>33</v>
      </c>
      <c r="C59" s="40">
        <v>40</v>
      </c>
      <c r="D59" s="40"/>
    </row>
    <row r="60" spans="1:4" ht="12.75" hidden="1">
      <c r="A60" s="40"/>
      <c r="B60" s="40" t="s">
        <v>34</v>
      </c>
      <c r="C60" s="40">
        <v>368</v>
      </c>
      <c r="D60" s="40"/>
    </row>
    <row r="61" spans="1:4" ht="12.75" hidden="1">
      <c r="A61" s="40"/>
      <c r="B61" s="40" t="s">
        <v>35</v>
      </c>
      <c r="C61" s="40">
        <v>93</v>
      </c>
      <c r="D61" s="40"/>
    </row>
    <row r="62" spans="1:4" ht="12.75" hidden="1">
      <c r="A62" s="40"/>
      <c r="B62" s="40" t="s">
        <v>36</v>
      </c>
      <c r="C62" s="40">
        <v>0</v>
      </c>
      <c r="D62" s="40"/>
    </row>
    <row r="63" spans="1:4" ht="12.75" hidden="1">
      <c r="A63" s="47">
        <v>5</v>
      </c>
      <c r="B63" s="47" t="s">
        <v>7</v>
      </c>
      <c r="C63" s="47">
        <f>C64+C65+C66+C67</f>
        <v>2260</v>
      </c>
      <c r="D63" s="60">
        <f>(D64/C63)+1</f>
        <v>1.311061946902655</v>
      </c>
    </row>
    <row r="64" spans="1:4" ht="12.75" hidden="1">
      <c r="A64" s="40"/>
      <c r="B64" s="61" t="s">
        <v>37</v>
      </c>
      <c r="C64" s="40">
        <v>1557</v>
      </c>
      <c r="D64" s="40">
        <f>C65+C66+C67</f>
        <v>703</v>
      </c>
    </row>
    <row r="65" spans="1:4" ht="12.75" hidden="1">
      <c r="A65" s="40"/>
      <c r="B65" s="40" t="s">
        <v>38</v>
      </c>
      <c r="C65" s="40">
        <v>30</v>
      </c>
      <c r="D65" s="40"/>
    </row>
    <row r="66" spans="1:4" ht="12.75" hidden="1">
      <c r="A66" s="40"/>
      <c r="B66" s="40" t="s">
        <v>39</v>
      </c>
      <c r="C66" s="40">
        <v>302</v>
      </c>
      <c r="D66" s="40"/>
    </row>
    <row r="67" spans="1:4" ht="12.75" hidden="1">
      <c r="A67" s="40"/>
      <c r="B67" s="40" t="s">
        <v>58</v>
      </c>
      <c r="C67" s="40">
        <v>371</v>
      </c>
      <c r="D67" s="40"/>
    </row>
    <row r="68" spans="1:4" ht="12.75" hidden="1">
      <c r="A68" s="47">
        <v>6</v>
      </c>
      <c r="B68" s="47" t="s">
        <v>8</v>
      </c>
      <c r="C68" s="47">
        <f>C69+C70+C71+C72</f>
        <v>2500</v>
      </c>
      <c r="D68" s="60">
        <f>D69/C68+1</f>
        <v>1.032</v>
      </c>
    </row>
    <row r="69" spans="1:4" ht="12.75" hidden="1">
      <c r="A69" s="40"/>
      <c r="B69" s="40" t="s">
        <v>40</v>
      </c>
      <c r="C69" s="40">
        <v>771</v>
      </c>
      <c r="D69" s="40">
        <f>C72</f>
        <v>80</v>
      </c>
    </row>
    <row r="70" spans="1:4" ht="12.75" hidden="1">
      <c r="A70" s="40"/>
      <c r="B70" s="61" t="s">
        <v>41</v>
      </c>
      <c r="C70" s="40">
        <v>827</v>
      </c>
      <c r="D70" s="40"/>
    </row>
    <row r="71" spans="1:4" ht="12.75" hidden="1">
      <c r="A71" s="40"/>
      <c r="B71" s="40" t="s">
        <v>42</v>
      </c>
      <c r="C71" s="40">
        <v>822</v>
      </c>
      <c r="D71" s="40"/>
    </row>
    <row r="72" spans="1:4" ht="12.75" hidden="1">
      <c r="A72" s="40"/>
      <c r="B72" s="40" t="s">
        <v>43</v>
      </c>
      <c r="C72" s="40">
        <v>80</v>
      </c>
      <c r="D72" s="40"/>
    </row>
    <row r="73" spans="1:4" ht="12.75" hidden="1">
      <c r="A73" s="47">
        <v>7</v>
      </c>
      <c r="B73" s="47" t="s">
        <v>9</v>
      </c>
      <c r="C73" s="47">
        <f>C74+C75+C76+C77+C78+C79+C80</f>
        <v>3262</v>
      </c>
      <c r="D73" s="60">
        <f>D74/C73+1</f>
        <v>1.3767627222562844</v>
      </c>
    </row>
    <row r="74" spans="1:4" ht="12.75" hidden="1">
      <c r="A74" s="40"/>
      <c r="B74" s="40" t="s">
        <v>44</v>
      </c>
      <c r="C74" s="40">
        <v>595</v>
      </c>
      <c r="D74" s="40">
        <f>C75+C76+C80+C77</f>
        <v>1229</v>
      </c>
    </row>
    <row r="75" spans="1:4" ht="12.75" hidden="1">
      <c r="A75" s="40"/>
      <c r="B75" s="40" t="s">
        <v>45</v>
      </c>
      <c r="C75" s="40">
        <v>134</v>
      </c>
      <c r="D75" s="40"/>
    </row>
    <row r="76" spans="1:4" ht="12.75" hidden="1">
      <c r="A76" s="40"/>
      <c r="B76" s="40" t="s">
        <v>46</v>
      </c>
      <c r="C76" s="40">
        <v>166</v>
      </c>
      <c r="D76" s="40"/>
    </row>
    <row r="77" spans="1:4" ht="12.75" hidden="1">
      <c r="A77" s="40"/>
      <c r="B77" s="40" t="s">
        <v>47</v>
      </c>
      <c r="C77" s="40">
        <v>481</v>
      </c>
      <c r="D77" s="40"/>
    </row>
    <row r="78" spans="1:4" ht="12.75" hidden="1">
      <c r="A78" s="40"/>
      <c r="B78" s="40" t="s">
        <v>48</v>
      </c>
      <c r="C78" s="40">
        <v>799</v>
      </c>
      <c r="D78" s="40"/>
    </row>
    <row r="79" spans="1:4" ht="12.75" hidden="1">
      <c r="A79" s="40"/>
      <c r="B79" s="62" t="s">
        <v>49</v>
      </c>
      <c r="C79" s="63">
        <v>639</v>
      </c>
      <c r="D79" s="40"/>
    </row>
    <row r="80" spans="1:4" ht="12.75" hidden="1">
      <c r="A80" s="40"/>
      <c r="B80" s="63" t="s">
        <v>50</v>
      </c>
      <c r="C80" s="63">
        <v>448</v>
      </c>
      <c r="D80" s="40"/>
    </row>
    <row r="81" spans="1:4" ht="25.5" hidden="1">
      <c r="A81" s="47">
        <v>8</v>
      </c>
      <c r="B81" s="44" t="s">
        <v>51</v>
      </c>
      <c r="C81" s="47">
        <f>C82+C83</f>
        <v>2516</v>
      </c>
      <c r="D81" s="60">
        <f>(D82/C81)+1</f>
        <v>1.0349761526232115</v>
      </c>
    </row>
    <row r="82" spans="1:4" ht="12.75" hidden="1">
      <c r="A82" s="40"/>
      <c r="B82" s="64" t="s">
        <v>52</v>
      </c>
      <c r="C82" s="40">
        <v>2428</v>
      </c>
      <c r="D82" s="40">
        <f>C83</f>
        <v>88</v>
      </c>
    </row>
    <row r="83" spans="1:4" ht="12.75" hidden="1">
      <c r="A83" s="40"/>
      <c r="B83" s="38" t="s">
        <v>64</v>
      </c>
      <c r="C83" s="40">
        <v>88</v>
      </c>
      <c r="D83" s="40"/>
    </row>
    <row r="84" spans="1:4" ht="12.75" hidden="1">
      <c r="A84" s="47">
        <v>9</v>
      </c>
      <c r="B84" s="44" t="s">
        <v>10</v>
      </c>
      <c r="C84" s="47">
        <f>C85+C86</f>
        <v>2744</v>
      </c>
      <c r="D84" s="47">
        <v>1</v>
      </c>
    </row>
    <row r="85" spans="1:4" ht="12.75" hidden="1">
      <c r="A85" s="40"/>
      <c r="B85" s="64" t="s">
        <v>53</v>
      </c>
      <c r="C85" s="40">
        <v>1718</v>
      </c>
      <c r="D85" s="40"/>
    </row>
    <row r="86" spans="1:4" ht="12.75" hidden="1">
      <c r="A86" s="40"/>
      <c r="B86" s="38" t="s">
        <v>54</v>
      </c>
      <c r="C86" s="40">
        <v>1026</v>
      </c>
      <c r="D86" s="40"/>
    </row>
    <row r="87" spans="1:4" ht="12.75" hidden="1">
      <c r="A87" s="47">
        <v>10</v>
      </c>
      <c r="B87" s="44" t="s">
        <v>11</v>
      </c>
      <c r="C87" s="47">
        <f>C88+C89+C90</f>
        <v>4678</v>
      </c>
      <c r="D87" s="60">
        <f>(D88/C87)+1</f>
        <v>1.0386917486105174</v>
      </c>
    </row>
    <row r="88" spans="1:4" ht="12.75" hidden="1">
      <c r="A88" s="40"/>
      <c r="B88" s="64" t="s">
        <v>55</v>
      </c>
      <c r="C88" s="40">
        <v>2958</v>
      </c>
      <c r="D88" s="40">
        <f>C90</f>
        <v>181</v>
      </c>
    </row>
    <row r="89" spans="1:4" ht="12.75" hidden="1">
      <c r="A89" s="40"/>
      <c r="B89" s="38" t="s">
        <v>56</v>
      </c>
      <c r="C89" s="40">
        <v>1539</v>
      </c>
      <c r="D89" s="40"/>
    </row>
    <row r="90" spans="1:4" ht="12.75" hidden="1">
      <c r="A90" s="40"/>
      <c r="B90" s="38" t="s">
        <v>57</v>
      </c>
      <c r="C90" s="40">
        <v>181</v>
      </c>
      <c r="D90" s="40"/>
    </row>
    <row r="91" spans="1:4" ht="12.75">
      <c r="A91" s="40"/>
      <c r="B91" s="44" t="s">
        <v>63</v>
      </c>
      <c r="C91" s="45">
        <f>+C6+C8+C10+C12+C14+C16+C18+C20</f>
        <v>30376</v>
      </c>
      <c r="D91" s="60">
        <f>D92/C91+1</f>
        <v>1.1994008427706084</v>
      </c>
    </row>
    <row r="92" spans="2:4" ht="12.75">
      <c r="B92" s="39"/>
      <c r="D92" s="65">
        <f>+D7+D9+D11+D13+D15+D17+D19+D21</f>
        <v>6057</v>
      </c>
    </row>
    <row r="93" spans="2:4" ht="15" customHeight="1">
      <c r="B93" s="234"/>
      <c r="C93" s="234"/>
      <c r="D93" s="234"/>
    </row>
  </sheetData>
  <sheetProtection/>
  <mergeCells count="2">
    <mergeCell ref="A3:D3"/>
    <mergeCell ref="B93:D9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5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36.125" style="37" customWidth="1"/>
    <col min="2" max="7" width="13.125" style="37" customWidth="1"/>
    <col min="8" max="8" width="12.375" style="37" bestFit="1" customWidth="1"/>
    <col min="9" max="9" width="11.875" style="37" bestFit="1" customWidth="1"/>
    <col min="10" max="11" width="12.375" style="37" bestFit="1" customWidth="1"/>
    <col min="12" max="14" width="11.375" style="37" bestFit="1" customWidth="1"/>
    <col min="15" max="15" width="12.375" style="37" bestFit="1" customWidth="1"/>
    <col min="16" max="16" width="11.75390625" style="37" bestFit="1" customWidth="1"/>
    <col min="17" max="19" width="11.875" style="37" bestFit="1" customWidth="1"/>
    <col min="20" max="20" width="12.375" style="37" bestFit="1" customWidth="1"/>
    <col min="21" max="21" width="11.875" style="37" bestFit="1" customWidth="1"/>
    <col min="22" max="16384" width="9.125" style="37" customWidth="1"/>
  </cols>
  <sheetData>
    <row r="1" s="15" customFormat="1" ht="15.75">
      <c r="G1" s="15" t="s">
        <v>142</v>
      </c>
    </row>
    <row r="2" spans="1:7" s="15" customFormat="1" ht="46.5" customHeight="1">
      <c r="A2" s="246" t="s">
        <v>168</v>
      </c>
      <c r="B2" s="246"/>
      <c r="C2" s="246"/>
      <c r="D2" s="246"/>
      <c r="E2" s="246"/>
      <c r="F2" s="246"/>
      <c r="G2" s="246"/>
    </row>
    <row r="3" spans="1:7" s="15" customFormat="1" ht="31.5" customHeight="1">
      <c r="A3" s="25"/>
      <c r="B3" s="25"/>
      <c r="C3" s="25"/>
      <c r="D3" s="25"/>
      <c r="E3" s="25"/>
      <c r="F3" s="25"/>
      <c r="G3" s="25"/>
    </row>
    <row r="4" spans="6:7" ht="12.75">
      <c r="F4" s="56" t="s">
        <v>159</v>
      </c>
      <c r="G4" s="74"/>
    </row>
    <row r="5" spans="1:7" s="53" customFormat="1" ht="31.5" customHeight="1">
      <c r="A5" s="75" t="s">
        <v>15</v>
      </c>
      <c r="B5" s="20" t="s">
        <v>138</v>
      </c>
      <c r="C5" s="20" t="s">
        <v>136</v>
      </c>
      <c r="D5" s="20" t="s">
        <v>137</v>
      </c>
      <c r="E5" s="75" t="s">
        <v>125</v>
      </c>
      <c r="F5" s="75" t="s">
        <v>126</v>
      </c>
      <c r="G5" s="76" t="s">
        <v>72</v>
      </c>
    </row>
    <row r="6" spans="1:7" ht="27.75" customHeight="1">
      <c r="A6" s="41" t="s">
        <v>69</v>
      </c>
      <c r="B6" s="77">
        <v>24906.205750000005</v>
      </c>
      <c r="C6" s="77">
        <v>24207.0132</v>
      </c>
      <c r="D6" s="77">
        <v>29006.02162</v>
      </c>
      <c r="E6" s="77">
        <f>+B6+C6+D6</f>
        <v>78119.24057000001</v>
      </c>
      <c r="F6" s="77">
        <f>+E6/3</f>
        <v>26039.74685666667</v>
      </c>
      <c r="G6" s="78">
        <f>(E6/E10)*100</f>
        <v>26.218074261582874</v>
      </c>
    </row>
    <row r="7" spans="1:7" ht="21" customHeight="1">
      <c r="A7" s="79" t="s">
        <v>66</v>
      </c>
      <c r="B7" s="77">
        <v>15314.994000000002</v>
      </c>
      <c r="C7" s="77">
        <v>12562.58266</v>
      </c>
      <c r="D7" s="77">
        <v>16959.711840000004</v>
      </c>
      <c r="E7" s="77">
        <f>+B7+C7+D7</f>
        <v>44837.28850000001</v>
      </c>
      <c r="F7" s="77">
        <f>+E7/3</f>
        <v>14945.762833333336</v>
      </c>
      <c r="G7" s="78">
        <f>(E7/E10)*100</f>
        <v>15.048115560309983</v>
      </c>
    </row>
    <row r="8" spans="1:7" ht="21" customHeight="1">
      <c r="A8" s="79" t="s">
        <v>70</v>
      </c>
      <c r="B8" s="77">
        <v>9303.690139999999</v>
      </c>
      <c r="C8" s="77">
        <v>11277.10966</v>
      </c>
      <c r="D8" s="77">
        <v>13139.9522</v>
      </c>
      <c r="E8" s="77">
        <f>+B8+C8+D8</f>
        <v>33720.752</v>
      </c>
      <c r="F8" s="77">
        <f>+E8/3</f>
        <v>11240.250666666667</v>
      </c>
      <c r="G8" s="78">
        <f>(E8/E10)*100</f>
        <v>11.317227019126143</v>
      </c>
    </row>
    <row r="9" spans="1:7" ht="21" customHeight="1">
      <c r="A9" s="79" t="s">
        <v>71</v>
      </c>
      <c r="B9" s="77">
        <v>44773.408630000005</v>
      </c>
      <c r="C9" s="77">
        <v>39040.951949999995</v>
      </c>
      <c r="D9" s="77">
        <v>57467.849160000005</v>
      </c>
      <c r="E9" s="77">
        <f>+B9+C9+D9</f>
        <v>141282.20974000002</v>
      </c>
      <c r="F9" s="77">
        <f>+E9/3</f>
        <v>47094.06991333334</v>
      </c>
      <c r="G9" s="78">
        <f>(E9/E10)*100</f>
        <v>47.416583158981</v>
      </c>
    </row>
    <row r="10" spans="1:7" s="68" customFormat="1" ht="21" customHeight="1">
      <c r="A10" s="80" t="s">
        <v>13</v>
      </c>
      <c r="B10" s="81">
        <f>SUM(B6:B9)</f>
        <v>94298.29852000001</v>
      </c>
      <c r="C10" s="81">
        <f>SUM(C6:C9)</f>
        <v>87087.65747</v>
      </c>
      <c r="D10" s="81">
        <f>SUM(D6:D9)</f>
        <v>116573.53482</v>
      </c>
      <c r="E10" s="81">
        <f>SUM(E6:E9)</f>
        <v>297959.49081000005</v>
      </c>
      <c r="F10" s="81">
        <f>SUM(F6:F9)</f>
        <v>99319.83027</v>
      </c>
      <c r="G10" s="82">
        <v>100</v>
      </c>
    </row>
    <row r="12" ht="12.75" hidden="1"/>
    <row r="13" spans="1:21" s="26" customFormat="1" ht="12.75" hidden="1">
      <c r="A13" s="247" t="s">
        <v>164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</row>
    <row r="14" spans="1:5" s="26" customFormat="1" ht="12.75" hidden="1">
      <c r="A14" s="248"/>
      <c r="B14" s="248"/>
      <c r="C14" s="248"/>
      <c r="D14" s="248"/>
      <c r="E14" s="248"/>
    </row>
    <row r="15" spans="1:21" s="26" customFormat="1" ht="12.75" customHeight="1" hidden="1">
      <c r="A15" s="235" t="s">
        <v>156</v>
      </c>
      <c r="B15" s="243" t="s">
        <v>117</v>
      </c>
      <c r="C15" s="244"/>
      <c r="D15" s="244"/>
      <c r="E15" s="244"/>
      <c r="F15" s="245"/>
      <c r="G15" s="240" t="s">
        <v>118</v>
      </c>
      <c r="H15" s="241"/>
      <c r="I15" s="241"/>
      <c r="J15" s="241"/>
      <c r="K15" s="242"/>
      <c r="L15" s="243" t="s">
        <v>119</v>
      </c>
      <c r="M15" s="244"/>
      <c r="N15" s="244"/>
      <c r="O15" s="244"/>
      <c r="P15" s="245"/>
      <c r="Q15" s="243" t="s">
        <v>120</v>
      </c>
      <c r="R15" s="244"/>
      <c r="S15" s="244"/>
      <c r="T15" s="244"/>
      <c r="U15" s="245"/>
    </row>
    <row r="16" spans="1:21" s="69" customFormat="1" ht="25.5" hidden="1">
      <c r="A16" s="236"/>
      <c r="B16" s="17" t="s">
        <v>138</v>
      </c>
      <c r="C16" s="17" t="s">
        <v>136</v>
      </c>
      <c r="D16" s="17" t="s">
        <v>137</v>
      </c>
      <c r="E16" s="212" t="s">
        <v>128</v>
      </c>
      <c r="F16" s="19" t="s">
        <v>129</v>
      </c>
      <c r="G16" s="17" t="s">
        <v>138</v>
      </c>
      <c r="H16" s="17" t="s">
        <v>136</v>
      </c>
      <c r="I16" s="17" t="s">
        <v>137</v>
      </c>
      <c r="J16" s="212" t="s">
        <v>128</v>
      </c>
      <c r="K16" s="19" t="s">
        <v>129</v>
      </c>
      <c r="L16" s="17" t="s">
        <v>138</v>
      </c>
      <c r="M16" s="17" t="s">
        <v>136</v>
      </c>
      <c r="N16" s="17" t="s">
        <v>137</v>
      </c>
      <c r="O16" s="212" t="s">
        <v>128</v>
      </c>
      <c r="P16" s="19" t="s">
        <v>129</v>
      </c>
      <c r="Q16" s="17" t="s">
        <v>138</v>
      </c>
      <c r="R16" s="17" t="s">
        <v>136</v>
      </c>
      <c r="S16" s="17" t="s">
        <v>137</v>
      </c>
      <c r="T16" s="212" t="s">
        <v>128</v>
      </c>
      <c r="U16" s="19" t="s">
        <v>129</v>
      </c>
    </row>
    <row r="17" spans="1:21" s="26" customFormat="1" ht="12.75" hidden="1">
      <c r="A17" s="1" t="s">
        <v>130</v>
      </c>
      <c r="B17" s="205">
        <v>3447.855</v>
      </c>
      <c r="C17" s="205">
        <v>3512.521</v>
      </c>
      <c r="D17" s="205">
        <v>4233.81029</v>
      </c>
      <c r="E17" s="5">
        <f aca="true" t="shared" si="0" ref="E17:E22">+B17+C17+D17</f>
        <v>11194.186290000001</v>
      </c>
      <c r="F17" s="6">
        <f aca="true" t="shared" si="1" ref="F17:F22">+E17/3</f>
        <v>3731.3954300000005</v>
      </c>
      <c r="G17" s="205">
        <v>4461.3</v>
      </c>
      <c r="H17" s="210">
        <v>4173.6</v>
      </c>
      <c r="I17" s="213">
        <v>4523.91718</v>
      </c>
      <c r="J17" s="5">
        <f aca="true" t="shared" si="2" ref="J17:J22">+G17+H17+I17</f>
        <v>13158.817180000002</v>
      </c>
      <c r="K17" s="6">
        <f aca="true" t="shared" si="3" ref="K17:K22">+J17/3</f>
        <v>4386.272393333334</v>
      </c>
      <c r="L17" s="205">
        <v>1718.26</v>
      </c>
      <c r="M17" s="205">
        <v>1393.648</v>
      </c>
      <c r="N17" s="205">
        <v>2471.14588</v>
      </c>
      <c r="O17" s="205">
        <f aca="true" t="shared" si="4" ref="O17:O22">+L17+M17+N17</f>
        <v>5583.0538799999995</v>
      </c>
      <c r="P17" s="6">
        <f>+O17/3</f>
        <v>1861.01796</v>
      </c>
      <c r="Q17" s="205">
        <v>1708.82075</v>
      </c>
      <c r="R17" s="205">
        <v>1817.61</v>
      </c>
      <c r="S17" s="205">
        <v>2060</v>
      </c>
      <c r="T17" s="5">
        <f aca="true" t="shared" si="5" ref="T17:T22">+Q17+R17+S17</f>
        <v>5586.4307499999995</v>
      </c>
      <c r="U17" s="6">
        <f aca="true" t="shared" si="6" ref="U17:U22">+T17/3</f>
        <v>1862.1435833333333</v>
      </c>
    </row>
    <row r="18" spans="1:21" s="26" customFormat="1" ht="12.75" hidden="1">
      <c r="A18" s="1" t="s">
        <v>131</v>
      </c>
      <c r="B18" s="4">
        <v>7646.18</v>
      </c>
      <c r="C18" s="4">
        <v>6351.237</v>
      </c>
      <c r="D18" s="4">
        <v>8549.98658</v>
      </c>
      <c r="E18" s="5">
        <f t="shared" si="0"/>
        <v>22547.403580000002</v>
      </c>
      <c r="F18" s="6">
        <f t="shared" si="1"/>
        <v>7515.801193333334</v>
      </c>
      <c r="G18" s="4">
        <v>1123.738</v>
      </c>
      <c r="H18" s="205">
        <v>450.985</v>
      </c>
      <c r="I18" s="4">
        <v>271.04663</v>
      </c>
      <c r="J18" s="5">
        <f t="shared" si="2"/>
        <v>1845.76963</v>
      </c>
      <c r="K18" s="6">
        <f t="shared" si="3"/>
        <v>615.2565433333333</v>
      </c>
      <c r="L18" s="205">
        <v>693.2</v>
      </c>
      <c r="M18" s="205">
        <v>696.7</v>
      </c>
      <c r="N18" s="205">
        <v>1380.8554</v>
      </c>
      <c r="O18" s="205">
        <f t="shared" si="4"/>
        <v>2770.7554</v>
      </c>
      <c r="P18" s="6">
        <f>+O18/3</f>
        <v>923.5851333333334</v>
      </c>
      <c r="Q18" s="4">
        <v>649.841</v>
      </c>
      <c r="R18" s="205">
        <v>898.071</v>
      </c>
      <c r="S18" s="4">
        <v>281</v>
      </c>
      <c r="T18" s="5">
        <f t="shared" si="5"/>
        <v>1828.912</v>
      </c>
      <c r="U18" s="6">
        <f t="shared" si="6"/>
        <v>609.6373333333333</v>
      </c>
    </row>
    <row r="19" spans="1:21" s="26" customFormat="1" ht="12.75" hidden="1">
      <c r="A19" s="1" t="s">
        <v>132</v>
      </c>
      <c r="B19" s="4">
        <v>1628.2</v>
      </c>
      <c r="C19" s="4">
        <v>1925.243</v>
      </c>
      <c r="D19" s="4">
        <v>3287.82174</v>
      </c>
      <c r="E19" s="5">
        <f t="shared" si="0"/>
        <v>6841.2647400000005</v>
      </c>
      <c r="F19" s="6">
        <f t="shared" si="1"/>
        <v>2280.42158</v>
      </c>
      <c r="G19" s="4">
        <v>403.4</v>
      </c>
      <c r="H19" s="205">
        <v>2000.493</v>
      </c>
      <c r="I19" s="4">
        <v>2980.63651</v>
      </c>
      <c r="J19" s="5">
        <f t="shared" si="2"/>
        <v>5384.52951</v>
      </c>
      <c r="K19" s="6">
        <f t="shared" si="3"/>
        <v>1794.84317</v>
      </c>
      <c r="L19" s="205">
        <v>1249.56</v>
      </c>
      <c r="M19" s="205">
        <v>1230.09</v>
      </c>
      <c r="N19" s="205">
        <v>1253.59498</v>
      </c>
      <c r="O19" s="205">
        <f t="shared" si="4"/>
        <v>3733.2449799999995</v>
      </c>
      <c r="P19" s="6">
        <f>+O19/3</f>
        <v>1244.414993333333</v>
      </c>
      <c r="Q19" s="4">
        <v>448.28</v>
      </c>
      <c r="R19" s="205">
        <v>122</v>
      </c>
      <c r="S19" s="4">
        <v>549</v>
      </c>
      <c r="T19" s="5">
        <f t="shared" si="5"/>
        <v>1119.28</v>
      </c>
      <c r="U19" s="6">
        <f t="shared" si="6"/>
        <v>373.0933333333333</v>
      </c>
    </row>
    <row r="20" spans="1:21" s="26" customFormat="1" ht="12.75" hidden="1">
      <c r="A20" s="1" t="s">
        <v>133</v>
      </c>
      <c r="B20" s="4">
        <f>+B21+B22</f>
        <v>6726.090999999999</v>
      </c>
      <c r="C20" s="4">
        <f>+C21+C22</f>
        <v>5747.09</v>
      </c>
      <c r="D20" s="4">
        <f>+D21+D22</f>
        <v>9167.281</v>
      </c>
      <c r="E20" s="5">
        <f t="shared" si="0"/>
        <v>21640.462</v>
      </c>
      <c r="F20" s="6">
        <f t="shared" si="1"/>
        <v>7213.4873333333335</v>
      </c>
      <c r="G20" s="4">
        <f>+G21+G22</f>
        <v>8756.42</v>
      </c>
      <c r="H20" s="205">
        <f>+H21+H22</f>
        <v>6353.132</v>
      </c>
      <c r="I20" s="4">
        <f>+I21+I22</f>
        <v>8288.73988</v>
      </c>
      <c r="J20" s="5">
        <f t="shared" si="2"/>
        <v>23398.291879999997</v>
      </c>
      <c r="K20" s="6">
        <f t="shared" si="3"/>
        <v>7799.430626666665</v>
      </c>
      <c r="L20" s="205">
        <f>+L21+L22</f>
        <v>3493.795</v>
      </c>
      <c r="M20" s="205">
        <f>+M21+M22</f>
        <v>4486.778</v>
      </c>
      <c r="N20" s="205">
        <f>+N21+N22</f>
        <v>5063.54702</v>
      </c>
      <c r="O20" s="205">
        <f t="shared" si="4"/>
        <v>13044.12002</v>
      </c>
      <c r="P20" s="6">
        <f>+O20/3</f>
        <v>4348.040006666667</v>
      </c>
      <c r="Q20" s="4">
        <f>Q21+Q22</f>
        <v>3262.28877</v>
      </c>
      <c r="R20" s="205">
        <f>R21+R22</f>
        <v>3108.679</v>
      </c>
      <c r="S20" s="4">
        <f>S21+S22</f>
        <v>7095</v>
      </c>
      <c r="T20" s="5">
        <f t="shared" si="5"/>
        <v>13465.96777</v>
      </c>
      <c r="U20" s="6">
        <f t="shared" si="6"/>
        <v>4488.655923333333</v>
      </c>
    </row>
    <row r="21" spans="1:21" s="70" customFormat="1" ht="12.75" hidden="1">
      <c r="A21" s="2" t="s">
        <v>134</v>
      </c>
      <c r="B21" s="7">
        <v>433.789</v>
      </c>
      <c r="C21" s="7">
        <v>165.625</v>
      </c>
      <c r="D21" s="7">
        <v>0</v>
      </c>
      <c r="E21" s="8">
        <f t="shared" si="0"/>
        <v>599.414</v>
      </c>
      <c r="F21" s="9">
        <f t="shared" si="1"/>
        <v>199.80466666666666</v>
      </c>
      <c r="G21" s="7">
        <v>0</v>
      </c>
      <c r="H21" s="211">
        <v>0</v>
      </c>
      <c r="I21" s="7">
        <v>0</v>
      </c>
      <c r="J21" s="8">
        <f t="shared" si="2"/>
        <v>0</v>
      </c>
      <c r="K21" s="9">
        <f t="shared" si="3"/>
        <v>0</v>
      </c>
      <c r="L21" s="211">
        <v>0</v>
      </c>
      <c r="M21" s="211">
        <v>0</v>
      </c>
      <c r="N21" s="211"/>
      <c r="O21" s="211">
        <f>+L21+M21+N21</f>
        <v>0</v>
      </c>
      <c r="P21" s="9">
        <f>+O21/2</f>
        <v>0</v>
      </c>
      <c r="Q21" s="7">
        <v>417.06977</v>
      </c>
      <c r="R21" s="211">
        <v>806.982</v>
      </c>
      <c r="S21" s="7">
        <v>944</v>
      </c>
      <c r="T21" s="8">
        <f t="shared" si="5"/>
        <v>2168.05177</v>
      </c>
      <c r="U21" s="9">
        <f t="shared" si="6"/>
        <v>722.6839233333334</v>
      </c>
    </row>
    <row r="22" spans="1:21" s="70" customFormat="1" ht="12.75" hidden="1">
      <c r="A22" s="2" t="s">
        <v>133</v>
      </c>
      <c r="B22" s="7">
        <v>6292.302</v>
      </c>
      <c r="C22" s="7">
        <v>5581.465</v>
      </c>
      <c r="D22" s="7">
        <v>9167.281</v>
      </c>
      <c r="E22" s="8">
        <f t="shared" si="0"/>
        <v>21041.048000000003</v>
      </c>
      <c r="F22" s="9">
        <f t="shared" si="1"/>
        <v>7013.6826666666675</v>
      </c>
      <c r="G22" s="7">
        <v>8756.42</v>
      </c>
      <c r="H22" s="211">
        <v>6353.132</v>
      </c>
      <c r="I22" s="7">
        <v>8288.73988</v>
      </c>
      <c r="J22" s="8">
        <f t="shared" si="2"/>
        <v>23398.291879999997</v>
      </c>
      <c r="K22" s="9">
        <f t="shared" si="3"/>
        <v>7799.430626666665</v>
      </c>
      <c r="L22" s="211">
        <v>3493.795</v>
      </c>
      <c r="M22" s="211">
        <v>4486.778</v>
      </c>
      <c r="N22" s="211">
        <v>5063.54702</v>
      </c>
      <c r="O22" s="211">
        <f t="shared" si="4"/>
        <v>13044.12002</v>
      </c>
      <c r="P22" s="9">
        <f>+O22/3</f>
        <v>4348.040006666667</v>
      </c>
      <c r="Q22" s="7">
        <f>2773.219+72</f>
        <v>2845.219</v>
      </c>
      <c r="R22" s="7">
        <v>2301.697</v>
      </c>
      <c r="S22" s="7">
        <v>6151</v>
      </c>
      <c r="T22" s="8">
        <f t="shared" si="5"/>
        <v>11297.916000000001</v>
      </c>
      <c r="U22" s="9">
        <f t="shared" si="6"/>
        <v>3765.972</v>
      </c>
    </row>
    <row r="23" spans="1:21" s="26" customFormat="1" ht="12.75" hidden="1">
      <c r="A23" s="3" t="s">
        <v>135</v>
      </c>
      <c r="B23" s="10">
        <f>+B17+B18+B19+B20</f>
        <v>19448.326</v>
      </c>
      <c r="C23" s="10">
        <f aca="true" t="shared" si="7" ref="C23:U23">+C17+C18+C19+C20</f>
        <v>17536.091</v>
      </c>
      <c r="D23" s="10">
        <f>+D17+D18+D19+D20</f>
        <v>25238.89961</v>
      </c>
      <c r="E23" s="10">
        <f>+E17+E18+E19+E20</f>
        <v>62223.31661</v>
      </c>
      <c r="F23" s="11">
        <f t="shared" si="7"/>
        <v>20741.105536666666</v>
      </c>
      <c r="G23" s="10">
        <f t="shared" si="7"/>
        <v>14744.858</v>
      </c>
      <c r="H23" s="204">
        <f t="shared" si="7"/>
        <v>12978.21</v>
      </c>
      <c r="I23" s="10">
        <f>+I17+I18+I19+I20</f>
        <v>16064.340199999999</v>
      </c>
      <c r="J23" s="10">
        <f t="shared" si="7"/>
        <v>43787.4082</v>
      </c>
      <c r="K23" s="11">
        <f t="shared" si="7"/>
        <v>14595.802733333332</v>
      </c>
      <c r="L23" s="204">
        <f>+L17+L18+L19+L20</f>
        <v>7154.8150000000005</v>
      </c>
      <c r="M23" s="204">
        <f>+M17+M18+M19+M20</f>
        <v>7807.216</v>
      </c>
      <c r="N23" s="204">
        <f t="shared" si="7"/>
        <v>10169.14328</v>
      </c>
      <c r="O23" s="204">
        <f t="shared" si="7"/>
        <v>25131.17428</v>
      </c>
      <c r="P23" s="11">
        <f t="shared" si="7"/>
        <v>8377.058093333333</v>
      </c>
      <c r="Q23" s="204">
        <f>+Q17+Q18+Q19+Q20</f>
        <v>6069.23052</v>
      </c>
      <c r="R23" s="204">
        <f>+R17+R18+R19+R20</f>
        <v>5946.360000000001</v>
      </c>
      <c r="S23" s="10">
        <f t="shared" si="7"/>
        <v>9985</v>
      </c>
      <c r="T23" s="10">
        <f t="shared" si="7"/>
        <v>22000.590519999998</v>
      </c>
      <c r="U23" s="11">
        <f t="shared" si="7"/>
        <v>7333.530173333333</v>
      </c>
    </row>
    <row r="24" spans="1:21" s="26" customFormat="1" ht="12.75" hidden="1">
      <c r="A24" s="23"/>
      <c r="B24" s="12"/>
      <c r="C24" s="12"/>
      <c r="D24" s="12"/>
      <c r="E24" s="12"/>
      <c r="F24" s="24"/>
      <c r="G24" s="12"/>
      <c r="H24" s="12"/>
      <c r="I24" s="12"/>
      <c r="J24" s="12"/>
      <c r="K24" s="24"/>
      <c r="L24" s="12"/>
      <c r="M24" s="12"/>
      <c r="N24" s="12"/>
      <c r="O24" s="12"/>
      <c r="P24" s="24"/>
      <c r="Q24" s="12"/>
      <c r="R24" s="12"/>
      <c r="S24" s="12"/>
      <c r="T24" s="12"/>
      <c r="U24" s="24"/>
    </row>
    <row r="25" spans="1:21" s="26" customFormat="1" ht="12.75" hidden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s="26" customFormat="1" ht="12.75" customHeight="1" hidden="1">
      <c r="A26" s="235" t="s">
        <v>156</v>
      </c>
      <c r="B26" s="243" t="s">
        <v>121</v>
      </c>
      <c r="C26" s="244"/>
      <c r="D26" s="244"/>
      <c r="E26" s="244"/>
      <c r="F26" s="245"/>
      <c r="G26" s="243" t="s">
        <v>122</v>
      </c>
      <c r="H26" s="244"/>
      <c r="I26" s="244"/>
      <c r="J26" s="244"/>
      <c r="K26" s="245"/>
      <c r="L26" s="243" t="s">
        <v>123</v>
      </c>
      <c r="M26" s="244"/>
      <c r="N26" s="244"/>
      <c r="O26" s="244"/>
      <c r="P26" s="245"/>
      <c r="Q26" s="243" t="s">
        <v>124</v>
      </c>
      <c r="R26" s="244"/>
      <c r="S26" s="244"/>
      <c r="T26" s="244"/>
      <c r="U26" s="245"/>
    </row>
    <row r="27" spans="1:21" s="69" customFormat="1" ht="25.5" hidden="1">
      <c r="A27" s="236"/>
      <c r="B27" s="20" t="s">
        <v>138</v>
      </c>
      <c r="C27" s="20" t="s">
        <v>136</v>
      </c>
      <c r="D27" s="20" t="s">
        <v>137</v>
      </c>
      <c r="E27" s="21" t="s">
        <v>128</v>
      </c>
      <c r="F27" s="22" t="s">
        <v>129</v>
      </c>
      <c r="G27" s="20" t="s">
        <v>138</v>
      </c>
      <c r="H27" s="20" t="s">
        <v>136</v>
      </c>
      <c r="I27" s="20" t="s">
        <v>137</v>
      </c>
      <c r="J27" s="21" t="s">
        <v>128</v>
      </c>
      <c r="K27" s="22" t="s">
        <v>129</v>
      </c>
      <c r="L27" s="20" t="s">
        <v>138</v>
      </c>
      <c r="M27" s="20" t="s">
        <v>136</v>
      </c>
      <c r="N27" s="20" t="s">
        <v>137</v>
      </c>
      <c r="O27" s="21" t="s">
        <v>128</v>
      </c>
      <c r="P27" s="22" t="s">
        <v>129</v>
      </c>
      <c r="Q27" s="20" t="s">
        <v>138</v>
      </c>
      <c r="R27" s="20" t="s">
        <v>136</v>
      </c>
      <c r="S27" s="20" t="s">
        <v>137</v>
      </c>
      <c r="T27" s="21" t="s">
        <v>128</v>
      </c>
      <c r="U27" s="22" t="s">
        <v>129</v>
      </c>
    </row>
    <row r="28" spans="1:21" s="26" customFormat="1" ht="12.75" hidden="1">
      <c r="A28" s="1" t="s">
        <v>130</v>
      </c>
      <c r="B28" s="205">
        <f>30+3758.1</f>
        <v>3788.1</v>
      </c>
      <c r="C28" s="205">
        <v>3618.3</v>
      </c>
      <c r="D28" s="205">
        <v>3852.6</v>
      </c>
      <c r="E28" s="5">
        <f aca="true" t="shared" si="8" ref="E28:E33">+B28+C28+D28</f>
        <v>11259</v>
      </c>
      <c r="F28" s="6">
        <f aca="true" t="shared" si="9" ref="F28:F33">+E28/3</f>
        <v>3753</v>
      </c>
      <c r="G28" s="205">
        <v>4164.1</v>
      </c>
      <c r="H28" s="205">
        <v>4875.917</v>
      </c>
      <c r="I28" s="205">
        <v>5454.19387</v>
      </c>
      <c r="J28" s="5">
        <f aca="true" t="shared" si="10" ref="J28:J33">+G28+H28+I28</f>
        <v>14494.210869999999</v>
      </c>
      <c r="K28" s="6">
        <f aca="true" t="shared" si="11" ref="K28:K33">+J28/3</f>
        <v>4831.403623333333</v>
      </c>
      <c r="L28" s="205">
        <v>1774.309</v>
      </c>
      <c r="M28" s="205">
        <v>1773.454</v>
      </c>
      <c r="N28" s="205">
        <v>1806.2</v>
      </c>
      <c r="O28" s="5">
        <f aca="true" t="shared" si="12" ref="O28:O33">+L28+M28+N28</f>
        <v>5353.963</v>
      </c>
      <c r="P28" s="6">
        <f aca="true" t="shared" si="13" ref="P28:P33">+O28/3</f>
        <v>1784.6543333333332</v>
      </c>
      <c r="Q28" s="205">
        <v>3843.461</v>
      </c>
      <c r="R28" s="205">
        <v>3041.9632</v>
      </c>
      <c r="S28" s="205">
        <v>4604.1544</v>
      </c>
      <c r="T28" s="5">
        <f aca="true" t="shared" si="14" ref="T28:T33">+Q28+R28+S28</f>
        <v>11489.5786</v>
      </c>
      <c r="U28" s="6">
        <f aca="true" t="shared" si="15" ref="U28:U33">+T28/3</f>
        <v>3829.8595333333337</v>
      </c>
    </row>
    <row r="29" spans="1:21" s="26" customFormat="1" ht="12.75" hidden="1">
      <c r="A29" s="1" t="s">
        <v>131</v>
      </c>
      <c r="B29" s="4">
        <v>856.6</v>
      </c>
      <c r="C29" s="4">
        <v>786.8</v>
      </c>
      <c r="D29" s="4">
        <v>1018</v>
      </c>
      <c r="E29" s="5">
        <f t="shared" si="8"/>
        <v>2661.4</v>
      </c>
      <c r="F29" s="6">
        <f t="shared" si="9"/>
        <v>887.1333333333333</v>
      </c>
      <c r="G29" s="205">
        <v>2203.726</v>
      </c>
      <c r="H29" s="205">
        <v>1485.607</v>
      </c>
      <c r="I29" s="205">
        <v>2899.31014</v>
      </c>
      <c r="J29" s="5">
        <f t="shared" si="10"/>
        <v>6588.64314</v>
      </c>
      <c r="K29" s="6">
        <f t="shared" si="11"/>
        <v>2196.21438</v>
      </c>
      <c r="L29" s="4">
        <v>732.6</v>
      </c>
      <c r="M29" s="4">
        <v>461.986</v>
      </c>
      <c r="N29" s="4">
        <v>784.6</v>
      </c>
      <c r="O29" s="5">
        <f t="shared" si="12"/>
        <v>1979.1860000000001</v>
      </c>
      <c r="P29" s="6">
        <f t="shared" si="13"/>
        <v>659.7286666666668</v>
      </c>
      <c r="Q29" s="4">
        <v>1409.109</v>
      </c>
      <c r="R29" s="4">
        <v>1431.19666</v>
      </c>
      <c r="S29" s="4">
        <v>1774.91309</v>
      </c>
      <c r="T29" s="5">
        <f t="shared" si="14"/>
        <v>4615.21875</v>
      </c>
      <c r="U29" s="6">
        <f t="shared" si="15"/>
        <v>1538.40625</v>
      </c>
    </row>
    <row r="30" spans="1:21" s="26" customFormat="1" ht="12.75" hidden="1">
      <c r="A30" s="1" t="s">
        <v>132</v>
      </c>
      <c r="B30" s="4">
        <v>1117.2</v>
      </c>
      <c r="C30" s="4">
        <v>2168.2</v>
      </c>
      <c r="D30" s="4">
        <v>1182.1</v>
      </c>
      <c r="E30" s="5">
        <f t="shared" si="8"/>
        <v>4467.5</v>
      </c>
      <c r="F30" s="6">
        <f t="shared" si="9"/>
        <v>1489.1666666666667</v>
      </c>
      <c r="G30" s="4">
        <v>1404.397</v>
      </c>
      <c r="H30" s="4">
        <v>2284.922</v>
      </c>
      <c r="I30" s="4">
        <v>1882.84181</v>
      </c>
      <c r="J30" s="5">
        <f t="shared" si="10"/>
        <v>5572.160809999999</v>
      </c>
      <c r="K30" s="6">
        <f t="shared" si="11"/>
        <v>1857.3869366666665</v>
      </c>
      <c r="L30" s="4">
        <v>260.8</v>
      </c>
      <c r="M30" s="4">
        <v>276.5</v>
      </c>
      <c r="N30" s="4">
        <v>274.6</v>
      </c>
      <c r="O30" s="5">
        <f t="shared" si="12"/>
        <v>811.9</v>
      </c>
      <c r="P30" s="6">
        <f t="shared" si="13"/>
        <v>270.6333333333333</v>
      </c>
      <c r="Q30" s="4">
        <v>2791.85314</v>
      </c>
      <c r="R30" s="4">
        <v>1269.66166</v>
      </c>
      <c r="S30" s="4">
        <v>1729.35716</v>
      </c>
      <c r="T30" s="5">
        <f t="shared" si="14"/>
        <v>5790.87196</v>
      </c>
      <c r="U30" s="6">
        <f t="shared" si="15"/>
        <v>1930.2906533333335</v>
      </c>
    </row>
    <row r="31" spans="1:21" s="26" customFormat="1" ht="12.75" hidden="1">
      <c r="A31" s="1" t="s">
        <v>133</v>
      </c>
      <c r="B31" s="4">
        <f>+B32+B33</f>
        <v>5431.5</v>
      </c>
      <c r="C31" s="4">
        <f>+C32+C33</f>
        <v>4308.1</v>
      </c>
      <c r="D31" s="4">
        <f>+D32+D33</f>
        <v>8257.1</v>
      </c>
      <c r="E31" s="5">
        <f t="shared" si="8"/>
        <v>17996.7</v>
      </c>
      <c r="F31" s="6">
        <f t="shared" si="9"/>
        <v>5998.900000000001</v>
      </c>
      <c r="G31" s="4">
        <f>+G32+G33</f>
        <v>8442.378</v>
      </c>
      <c r="H31" s="4">
        <f>+H32+H33</f>
        <v>7238.762</v>
      </c>
      <c r="I31" s="4">
        <f>+I32+I33</f>
        <v>8892.40667</v>
      </c>
      <c r="J31" s="5">
        <f t="shared" si="10"/>
        <v>24573.54667</v>
      </c>
      <c r="K31" s="6">
        <f t="shared" si="11"/>
        <v>8191.182223333333</v>
      </c>
      <c r="L31" s="4">
        <v>2001.671</v>
      </c>
      <c r="M31" s="4">
        <f>+M32+M33</f>
        <v>1871.96</v>
      </c>
      <c r="N31" s="4">
        <f>+N32+N33</f>
        <v>2799.6</v>
      </c>
      <c r="O31" s="5">
        <f t="shared" si="12"/>
        <v>6673.231</v>
      </c>
      <c r="P31" s="6">
        <f t="shared" si="13"/>
        <v>2224.4103333333333</v>
      </c>
      <c r="Q31" s="4">
        <f>+Q32+Q33</f>
        <v>6659.26486</v>
      </c>
      <c r="R31" s="4">
        <f>+R32+R33</f>
        <v>5926.45095</v>
      </c>
      <c r="S31" s="4">
        <f>+S32+S33</f>
        <v>7904.17459</v>
      </c>
      <c r="T31" s="5">
        <f t="shared" si="14"/>
        <v>20489.8904</v>
      </c>
      <c r="U31" s="6">
        <f t="shared" si="15"/>
        <v>6829.963466666667</v>
      </c>
    </row>
    <row r="32" spans="1:21" s="70" customFormat="1" ht="12.75" hidden="1">
      <c r="A32" s="2" t="s">
        <v>134</v>
      </c>
      <c r="B32" s="7">
        <v>971.9</v>
      </c>
      <c r="C32" s="7">
        <v>1085</v>
      </c>
      <c r="D32" s="7">
        <v>1139.2</v>
      </c>
      <c r="E32" s="8">
        <f t="shared" si="8"/>
        <v>3196.1000000000004</v>
      </c>
      <c r="F32" s="9">
        <f t="shared" si="9"/>
        <v>1065.3666666666668</v>
      </c>
      <c r="G32" s="7">
        <v>0</v>
      </c>
      <c r="H32" s="7">
        <v>0</v>
      </c>
      <c r="I32" s="7">
        <v>0</v>
      </c>
      <c r="J32" s="8">
        <f t="shared" si="10"/>
        <v>0</v>
      </c>
      <c r="K32" s="9">
        <f t="shared" si="11"/>
        <v>0</v>
      </c>
      <c r="L32" s="7">
        <v>609.666</v>
      </c>
      <c r="M32" s="7">
        <v>586.135</v>
      </c>
      <c r="N32" s="7">
        <v>494.1</v>
      </c>
      <c r="O32" s="8">
        <f t="shared" si="12"/>
        <v>1689.9009999999998</v>
      </c>
      <c r="P32" s="9">
        <f t="shared" si="13"/>
        <v>563.3003333333332</v>
      </c>
      <c r="Q32" s="7">
        <v>0</v>
      </c>
      <c r="R32" s="7">
        <v>0</v>
      </c>
      <c r="S32" s="7"/>
      <c r="T32" s="8">
        <f t="shared" si="14"/>
        <v>0</v>
      </c>
      <c r="U32" s="9">
        <f t="shared" si="15"/>
        <v>0</v>
      </c>
    </row>
    <row r="33" spans="1:21" s="70" customFormat="1" ht="12.75" hidden="1">
      <c r="A33" s="2" t="s">
        <v>133</v>
      </c>
      <c r="B33" s="7">
        <f>4459.6</f>
        <v>4459.6</v>
      </c>
      <c r="C33" s="7">
        <v>3223.1</v>
      </c>
      <c r="D33" s="7">
        <v>7117.9</v>
      </c>
      <c r="E33" s="8">
        <f t="shared" si="8"/>
        <v>14800.6</v>
      </c>
      <c r="F33" s="9">
        <f t="shared" si="9"/>
        <v>4933.533333333334</v>
      </c>
      <c r="G33" s="7">
        <f>8059.978+382.4</f>
        <v>8442.378</v>
      </c>
      <c r="H33" s="7">
        <v>7238.762</v>
      </c>
      <c r="I33" s="7">
        <v>8892.40667</v>
      </c>
      <c r="J33" s="8">
        <f t="shared" si="10"/>
        <v>24573.54667</v>
      </c>
      <c r="K33" s="9">
        <f t="shared" si="11"/>
        <v>8191.182223333333</v>
      </c>
      <c r="L33" s="7">
        <v>1392.005</v>
      </c>
      <c r="M33" s="7">
        <v>1285.825</v>
      </c>
      <c r="N33" s="7">
        <v>2305.5</v>
      </c>
      <c r="O33" s="8">
        <f t="shared" si="12"/>
        <v>4983.33</v>
      </c>
      <c r="P33" s="9">
        <f t="shared" si="13"/>
        <v>1661.11</v>
      </c>
      <c r="Q33" s="4">
        <v>6659.26486</v>
      </c>
      <c r="R33" s="4">
        <v>5926.45095</v>
      </c>
      <c r="S33" s="4">
        <v>7904.17459</v>
      </c>
      <c r="T33" s="8">
        <f t="shared" si="14"/>
        <v>20489.8904</v>
      </c>
      <c r="U33" s="9">
        <f t="shared" si="15"/>
        <v>6829.963466666667</v>
      </c>
    </row>
    <row r="34" spans="1:21" s="26" customFormat="1" ht="12.75" hidden="1">
      <c r="A34" s="3" t="s">
        <v>135</v>
      </c>
      <c r="B34" s="10">
        <f>+B28+B29+B30+B31</f>
        <v>11193.4</v>
      </c>
      <c r="C34" s="10">
        <f>+C28+C29+C30+C31</f>
        <v>10881.400000000001</v>
      </c>
      <c r="D34" s="10">
        <f>+D28+D29+D30+D31</f>
        <v>14309.800000000001</v>
      </c>
      <c r="E34" s="10">
        <f aca="true" t="shared" si="16" ref="E34:U34">+E28+E29+E30+E31</f>
        <v>36384.600000000006</v>
      </c>
      <c r="F34" s="11">
        <f t="shared" si="16"/>
        <v>12128.2</v>
      </c>
      <c r="G34" s="10">
        <f>+G28+G29+G30+G31</f>
        <v>16214.601000000002</v>
      </c>
      <c r="H34" s="10">
        <f>+H28+H29+H30+H31</f>
        <v>15885.207999999999</v>
      </c>
      <c r="I34" s="10">
        <f>+I28+I29+I30+I31</f>
        <v>19128.75249</v>
      </c>
      <c r="J34" s="10">
        <f t="shared" si="16"/>
        <v>51228.56148999999</v>
      </c>
      <c r="K34" s="11">
        <f t="shared" si="16"/>
        <v>17076.187163333332</v>
      </c>
      <c r="L34" s="10">
        <f>+L28+L29+L30+L31</f>
        <v>4769.38</v>
      </c>
      <c r="M34" s="10">
        <f>+M28+M29+M30+M31</f>
        <v>4383.9</v>
      </c>
      <c r="N34" s="10">
        <f t="shared" si="16"/>
        <v>5665</v>
      </c>
      <c r="O34" s="10">
        <f t="shared" si="16"/>
        <v>14818.279999999999</v>
      </c>
      <c r="P34" s="11">
        <f t="shared" si="16"/>
        <v>4939.426666666666</v>
      </c>
      <c r="Q34" s="10">
        <f>+Q28+Q29+Q30+Q31</f>
        <v>14703.688</v>
      </c>
      <c r="R34" s="10">
        <f>+R28+R29+R30+R31</f>
        <v>11669.27247</v>
      </c>
      <c r="S34" s="10">
        <f>+S28+S29+S30+S31</f>
        <v>16012.59924</v>
      </c>
      <c r="T34" s="10">
        <f t="shared" si="16"/>
        <v>42385.55971</v>
      </c>
      <c r="U34" s="11">
        <f t="shared" si="16"/>
        <v>14128.519903333334</v>
      </c>
    </row>
    <row r="35" spans="1:21" s="26" customFormat="1" ht="12.75" hidden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26" customFormat="1" ht="12.75" hidden="1">
      <c r="A36" s="235" t="s">
        <v>156</v>
      </c>
      <c r="B36" s="237" t="s">
        <v>14</v>
      </c>
      <c r="C36" s="238"/>
      <c r="D36" s="238"/>
      <c r="E36" s="238"/>
      <c r="F36" s="239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26" customFormat="1" ht="25.5" hidden="1">
      <c r="A37" s="236"/>
      <c r="B37" s="13" t="s">
        <v>138</v>
      </c>
      <c r="C37" s="13" t="s">
        <v>136</v>
      </c>
      <c r="D37" s="13" t="s">
        <v>137</v>
      </c>
      <c r="E37" s="14" t="s">
        <v>128</v>
      </c>
      <c r="F37" s="22" t="s">
        <v>129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26" customFormat="1" ht="12.75" hidden="1">
      <c r="A38" s="1" t="s">
        <v>130</v>
      </c>
      <c r="B38" s="4">
        <f aca="true" t="shared" si="17" ref="B38:D40">+B17+G17+L17+Q17+B28+G28+L28+Q28</f>
        <v>24906.205750000005</v>
      </c>
      <c r="C38" s="4">
        <f t="shared" si="17"/>
        <v>24207.0132</v>
      </c>
      <c r="D38" s="4">
        <f t="shared" si="17"/>
        <v>29006.02162</v>
      </c>
      <c r="E38" s="5">
        <f aca="true" t="shared" si="18" ref="E38:E43">+B38+C38+D38</f>
        <v>78119.24057000001</v>
      </c>
      <c r="F38" s="6">
        <f>+E38/3</f>
        <v>26039.74685666667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26" customFormat="1" ht="12.75" hidden="1">
      <c r="A39" s="1" t="s">
        <v>131</v>
      </c>
      <c r="B39" s="4">
        <f t="shared" si="17"/>
        <v>15314.994000000002</v>
      </c>
      <c r="C39" s="4">
        <f t="shared" si="17"/>
        <v>12562.58266</v>
      </c>
      <c r="D39" s="4">
        <f t="shared" si="17"/>
        <v>16959.711840000004</v>
      </c>
      <c r="E39" s="5">
        <f t="shared" si="18"/>
        <v>44837.28850000001</v>
      </c>
      <c r="F39" s="6">
        <f aca="true" t="shared" si="19" ref="F39:F44">+E39/3</f>
        <v>14945.762833333336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s="26" customFormat="1" ht="12.75" hidden="1">
      <c r="A40" s="1" t="s">
        <v>132</v>
      </c>
      <c r="B40" s="4">
        <f t="shared" si="17"/>
        <v>9303.690139999999</v>
      </c>
      <c r="C40" s="4">
        <f t="shared" si="17"/>
        <v>11277.10966</v>
      </c>
      <c r="D40" s="4">
        <f t="shared" si="17"/>
        <v>13139.9522</v>
      </c>
      <c r="E40" s="5">
        <f t="shared" si="18"/>
        <v>33720.752</v>
      </c>
      <c r="F40" s="6">
        <f t="shared" si="19"/>
        <v>11240.250666666667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s="26" customFormat="1" ht="12.75" hidden="1">
      <c r="A41" s="1" t="s">
        <v>133</v>
      </c>
      <c r="B41" s="4">
        <f>+B42+B43</f>
        <v>44773.408630000005</v>
      </c>
      <c r="C41" s="4">
        <f>+C42+C43</f>
        <v>39040.951949999995</v>
      </c>
      <c r="D41" s="4">
        <f>+D42+D43</f>
        <v>57467.849160000005</v>
      </c>
      <c r="E41" s="5">
        <f t="shared" si="18"/>
        <v>141282.20974000002</v>
      </c>
      <c r="F41" s="6">
        <f t="shared" si="19"/>
        <v>47094.06991333334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70" customFormat="1" ht="12.75" hidden="1">
      <c r="A42" s="2" t="s">
        <v>134</v>
      </c>
      <c r="B42" s="4">
        <f aca="true" t="shared" si="20" ref="B42:D43">+B21+G21+L21+Q21+B32+G32+L32+Q32</f>
        <v>2432.42477</v>
      </c>
      <c r="C42" s="4">
        <f t="shared" si="20"/>
        <v>2643.742</v>
      </c>
      <c r="D42" s="4">
        <f t="shared" si="20"/>
        <v>2577.2999999999997</v>
      </c>
      <c r="E42" s="5">
        <f t="shared" si="18"/>
        <v>7653.466769999999</v>
      </c>
      <c r="F42" s="6">
        <f t="shared" si="19"/>
        <v>2551.15559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s="70" customFormat="1" ht="12.75" hidden="1">
      <c r="A43" s="2" t="s">
        <v>133</v>
      </c>
      <c r="B43" s="4">
        <f t="shared" si="20"/>
        <v>42340.98386000001</v>
      </c>
      <c r="C43" s="4">
        <f t="shared" si="20"/>
        <v>36397.20995</v>
      </c>
      <c r="D43" s="4">
        <f t="shared" si="20"/>
        <v>54890.54916</v>
      </c>
      <c r="E43" s="5">
        <f t="shared" si="18"/>
        <v>133628.74297</v>
      </c>
      <c r="F43" s="6">
        <f t="shared" si="19"/>
        <v>44542.91432333333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s="26" customFormat="1" ht="12.75" hidden="1">
      <c r="A44" s="3" t="s">
        <v>135</v>
      </c>
      <c r="B44" s="10">
        <f>+B38+B39+B40+B41</f>
        <v>94298.29852000001</v>
      </c>
      <c r="C44" s="10">
        <f>+C38+C39+C40+C41</f>
        <v>87087.65747</v>
      </c>
      <c r="D44" s="10">
        <f>+D38+D39+D40+D41</f>
        <v>116573.53482</v>
      </c>
      <c r="E44" s="10">
        <f>+E38+E39+E40+E41</f>
        <v>297959.49081000005</v>
      </c>
      <c r="F44" s="214">
        <f t="shared" si="19"/>
        <v>99319.83027000002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s="26" customFormat="1" ht="12.75" hidden="1">
      <c r="A45" s="215"/>
      <c r="B45" s="216"/>
      <c r="C45" s="217"/>
      <c r="D45" s="217"/>
      <c r="E45" s="217"/>
      <c r="F45" s="218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ht="12.75" hidden="1"/>
  </sheetData>
  <sheetProtection/>
  <mergeCells count="15">
    <mergeCell ref="A2:G2"/>
    <mergeCell ref="A13:U13"/>
    <mergeCell ref="A14:E14"/>
    <mergeCell ref="A15:A16"/>
    <mergeCell ref="B15:F15"/>
    <mergeCell ref="A36:A37"/>
    <mergeCell ref="B36:F36"/>
    <mergeCell ref="G15:K15"/>
    <mergeCell ref="L15:P15"/>
    <mergeCell ref="Q15:U15"/>
    <mergeCell ref="A26:A27"/>
    <mergeCell ref="B26:F26"/>
    <mergeCell ref="G26:K26"/>
    <mergeCell ref="L26:P26"/>
    <mergeCell ref="Q26:U26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1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7" sqref="Q7"/>
    </sheetView>
  </sheetViews>
  <sheetFormatPr defaultColWidth="9.00390625" defaultRowHeight="12.75"/>
  <cols>
    <col min="1" max="1" width="5.625" style="37" customWidth="1"/>
    <col min="2" max="2" width="30.00390625" style="37" customWidth="1"/>
    <col min="3" max="4" width="11.875" style="37" customWidth="1"/>
    <col min="5" max="5" width="11.875" style="68" customWidth="1"/>
    <col min="6" max="8" width="11.875" style="37" customWidth="1"/>
    <col min="9" max="9" width="11.875" style="83" customWidth="1"/>
    <col min="10" max="12" width="11.875" style="37" customWidth="1"/>
    <col min="13" max="13" width="11.875" style="68" customWidth="1"/>
    <col min="14" max="16" width="11.875" style="37" customWidth="1"/>
    <col min="17" max="17" width="11.875" style="83" customWidth="1"/>
    <col min="18" max="18" width="11.875" style="68" customWidth="1"/>
    <col min="19" max="19" width="9.125" style="37" customWidth="1"/>
    <col min="20" max="20" width="9.125" style="74" customWidth="1"/>
    <col min="21" max="16384" width="9.125" style="37" customWidth="1"/>
  </cols>
  <sheetData>
    <row r="1" spans="5:20" s="15" customFormat="1" ht="15.75">
      <c r="E1" s="104"/>
      <c r="I1" s="105"/>
      <c r="M1" s="104"/>
      <c r="Q1" s="15" t="s">
        <v>143</v>
      </c>
      <c r="R1" s="104"/>
      <c r="T1" s="106"/>
    </row>
    <row r="2" spans="1:20" s="15" customFormat="1" ht="66.75" customHeight="1">
      <c r="A2" s="249" t="s">
        <v>170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T2" s="106"/>
    </row>
    <row r="4" spans="1:20" s="51" customFormat="1" ht="38.25" customHeight="1">
      <c r="A4" s="251" t="s">
        <v>0</v>
      </c>
      <c r="B4" s="251" t="s">
        <v>1</v>
      </c>
      <c r="C4" s="253" t="s">
        <v>65</v>
      </c>
      <c r="D4" s="254"/>
      <c r="E4" s="255"/>
      <c r="F4" s="254" t="s">
        <v>66</v>
      </c>
      <c r="G4" s="254"/>
      <c r="H4" s="254"/>
      <c r="I4" s="255"/>
      <c r="J4" s="254" t="s">
        <v>70</v>
      </c>
      <c r="K4" s="254"/>
      <c r="L4" s="254"/>
      <c r="M4" s="255"/>
      <c r="N4" s="256" t="s">
        <v>74</v>
      </c>
      <c r="O4" s="256"/>
      <c r="P4" s="256"/>
      <c r="Q4" s="256"/>
      <c r="R4" s="250" t="s">
        <v>75</v>
      </c>
      <c r="T4" s="108"/>
    </row>
    <row r="5" spans="1:20" s="51" customFormat="1" ht="103.5" customHeight="1">
      <c r="A5" s="252"/>
      <c r="B5" s="252"/>
      <c r="C5" s="49" t="s">
        <v>73</v>
      </c>
      <c r="D5" s="49" t="s">
        <v>67</v>
      </c>
      <c r="E5" s="109" t="s">
        <v>192</v>
      </c>
      <c r="F5" s="107" t="s">
        <v>73</v>
      </c>
      <c r="G5" s="107" t="s">
        <v>60</v>
      </c>
      <c r="H5" s="107" t="s">
        <v>67</v>
      </c>
      <c r="I5" s="110" t="s">
        <v>193</v>
      </c>
      <c r="J5" s="107" t="s">
        <v>73</v>
      </c>
      <c r="K5" s="107" t="s">
        <v>60</v>
      </c>
      <c r="L5" s="107" t="s">
        <v>67</v>
      </c>
      <c r="M5" s="109" t="s">
        <v>194</v>
      </c>
      <c r="N5" s="107" t="s">
        <v>73</v>
      </c>
      <c r="O5" s="107" t="s">
        <v>60</v>
      </c>
      <c r="P5" s="107" t="s">
        <v>67</v>
      </c>
      <c r="Q5" s="110" t="s">
        <v>195</v>
      </c>
      <c r="R5" s="250"/>
      <c r="T5" s="111"/>
    </row>
    <row r="6" spans="1:18" ht="12.75">
      <c r="A6" s="84">
        <v>1</v>
      </c>
      <c r="B6" s="84">
        <v>2</v>
      </c>
      <c r="C6" s="85">
        <v>3</v>
      </c>
      <c r="D6" s="85">
        <v>4</v>
      </c>
      <c r="E6" s="86">
        <v>5</v>
      </c>
      <c r="F6" s="87">
        <v>10</v>
      </c>
      <c r="G6" s="87">
        <v>12</v>
      </c>
      <c r="H6" s="87">
        <v>13</v>
      </c>
      <c r="I6" s="88">
        <v>14</v>
      </c>
      <c r="J6" s="87">
        <v>6</v>
      </c>
      <c r="K6" s="87">
        <v>7</v>
      </c>
      <c r="L6" s="87">
        <v>8</v>
      </c>
      <c r="M6" s="86">
        <v>9</v>
      </c>
      <c r="N6" s="87">
        <v>15</v>
      </c>
      <c r="O6" s="87">
        <v>16</v>
      </c>
      <c r="P6" s="87">
        <v>17</v>
      </c>
      <c r="Q6" s="88">
        <v>18</v>
      </c>
      <c r="R6" s="86">
        <v>19</v>
      </c>
    </row>
    <row r="7" spans="1:18" ht="20.25" customHeight="1">
      <c r="A7" s="40">
        <v>1</v>
      </c>
      <c r="B7" s="41" t="s">
        <v>117</v>
      </c>
      <c r="C7" s="89">
        <f>+'Коэф.масшт.'!C5</f>
        <v>6095</v>
      </c>
      <c r="D7" s="43">
        <f>+'Коэф.масшт.'!D5</f>
        <v>0.8491878589007383</v>
      </c>
      <c r="E7" s="90">
        <f>((C7*D7/C7)/(C15*D15/C15))*'Расчет доли '!G6/100</f>
        <v>0.3425241591799095</v>
      </c>
      <c r="F7" s="89">
        <f>+'Коэф.масшт.'!C5</f>
        <v>6095</v>
      </c>
      <c r="G7" s="91">
        <f>+'Коэф.дисп'!D6</f>
        <v>1.1530762920426578</v>
      </c>
      <c r="H7" s="43">
        <f>+'Коэф.масшт.'!D5</f>
        <v>0.8491878589007383</v>
      </c>
      <c r="I7" s="90">
        <f>(F7*G7*H7/F7)/(F15*G15*H15/F15)*'Расчет доли '!G7/100</f>
        <v>0.18900192630999377</v>
      </c>
      <c r="J7" s="89">
        <f>'Коэф.масшт.'!C5</f>
        <v>6095</v>
      </c>
      <c r="K7" s="91">
        <f>+'Коэф.дисп'!D6</f>
        <v>1.1530762920426578</v>
      </c>
      <c r="L7" s="43">
        <f>+'Коэф.масшт.'!D5</f>
        <v>0.8491878589007383</v>
      </c>
      <c r="M7" s="90">
        <f>(J7*K7*L7/J7)/(J15*K15*L15/J15)*'Расчет доли '!G8/100</f>
        <v>0.1421425625374642</v>
      </c>
      <c r="N7" s="92">
        <f>'Коэф.масшт.'!C5</f>
        <v>6095</v>
      </c>
      <c r="O7" s="91">
        <f aca="true" t="shared" si="0" ref="O7:O15">+K7</f>
        <v>1.1530762920426578</v>
      </c>
      <c r="P7" s="43">
        <f>'Коэф.масшт.'!D5</f>
        <v>0.8491878589007383</v>
      </c>
      <c r="Q7" s="90">
        <f>(O7*P7)/(O15*P15)*'Расчет доли '!G9/100</f>
        <v>0.5955447059246807</v>
      </c>
      <c r="R7" s="90">
        <f>+E7+I7+M7+Q7</f>
        <v>1.2692133539520483</v>
      </c>
    </row>
    <row r="8" spans="1:18" ht="20.25" customHeight="1">
      <c r="A8" s="40">
        <v>2</v>
      </c>
      <c r="B8" s="41" t="s">
        <v>118</v>
      </c>
      <c r="C8" s="89">
        <f>+'Коэф.масшт.'!C6</f>
        <v>5399</v>
      </c>
      <c r="D8" s="43">
        <f>+'Коэф.масшт.'!D6</f>
        <v>0.8813113539544362</v>
      </c>
      <c r="E8" s="90">
        <f>((C8*D8/C8)/(C15*D15/C15))*'Расчет доли '!G6/100</f>
        <v>0.3554813311623624</v>
      </c>
      <c r="F8" s="89">
        <f>+'Коэф.масшт.'!C6</f>
        <v>5399</v>
      </c>
      <c r="G8" s="91">
        <f>+'Коэф.дисп'!D8</f>
        <v>1.0392665308390443</v>
      </c>
      <c r="H8" s="43">
        <f>+'Коэф.масшт.'!D6</f>
        <v>0.8813113539544362</v>
      </c>
      <c r="I8" s="90">
        <f>(F8*G8*H8/F8)/(F15*G15*H15/F15)*'Расчет доли '!G7/100</f>
        <v>0.17679123016818202</v>
      </c>
      <c r="J8" s="89">
        <f>'Коэф.масшт.'!C6</f>
        <v>5399</v>
      </c>
      <c r="K8" s="91">
        <f>+'Коэф.дисп'!D8</f>
        <v>1.0392665308390443</v>
      </c>
      <c r="L8" s="43">
        <f>+'Коэф.масшт.'!D6</f>
        <v>0.8813113539544362</v>
      </c>
      <c r="M8" s="90">
        <f>((J8*K8*L8/J8)/(J15*K15*L15/J15))*'Расчет доли '!G8/100</f>
        <v>0.13295927179620115</v>
      </c>
      <c r="N8" s="92">
        <f>'Коэф.масшт.'!C6</f>
        <v>5399</v>
      </c>
      <c r="O8" s="91">
        <f t="shared" si="0"/>
        <v>1.0392665308390443</v>
      </c>
      <c r="P8" s="43">
        <f>'Коэф.масшт.'!D6</f>
        <v>0.8813113539544362</v>
      </c>
      <c r="Q8" s="90">
        <f>(O8*P8)/(O15*P15)*'Расчет доли '!G9/100</f>
        <v>0.5570688258906135</v>
      </c>
      <c r="R8" s="90">
        <f aca="true" t="shared" si="1" ref="R8:R15">+E8+I8+M8+Q8</f>
        <v>1.222300659017359</v>
      </c>
    </row>
    <row r="9" spans="1:18" ht="20.25" customHeight="1">
      <c r="A9" s="40">
        <v>3</v>
      </c>
      <c r="B9" s="41" t="s">
        <v>119</v>
      </c>
      <c r="C9" s="89">
        <f>+'Коэф.масшт.'!C7</f>
        <v>3889</v>
      </c>
      <c r="D9" s="43">
        <f>+'Коэф.масшт.'!D7</f>
        <v>0.9905374132167653</v>
      </c>
      <c r="E9" s="90">
        <f>((C9*D9/C9)/(C15*D15/C15))*'Расчет доли '!G6/100</f>
        <v>0.39953820705528237</v>
      </c>
      <c r="F9" s="89">
        <f>+'Коэф.масшт.'!C7</f>
        <v>3889</v>
      </c>
      <c r="G9" s="91">
        <f>+'Коэф.дисп'!D10</f>
        <v>1.3731036256106968</v>
      </c>
      <c r="H9" s="43">
        <f>+'Коэф.масшт.'!D7</f>
        <v>0.9905374132167653</v>
      </c>
      <c r="I9" s="90">
        <f>(F9*G9*H9/F9)/(F15*G15*H15/F15)*'Расчет доли '!G7/100</f>
        <v>0.2625298007836486</v>
      </c>
      <c r="J9" s="89">
        <f>'Коэф.масшт.'!C7</f>
        <v>3889</v>
      </c>
      <c r="K9" s="91">
        <f>+'Коэф.дисп'!D10</f>
        <v>1.3731036256106968</v>
      </c>
      <c r="L9" s="43">
        <f>+'Коэф.масшт.'!D7</f>
        <v>0.9905374132167653</v>
      </c>
      <c r="M9" s="90">
        <f>((J9*K9*L9/J9)/(J15*K15*L15/J15))*'Расчет доли '!G8/100</f>
        <v>0.1974406258941109</v>
      </c>
      <c r="N9" s="92">
        <f>'Коэф.масшт.'!C7</f>
        <v>3889</v>
      </c>
      <c r="O9" s="91">
        <f t="shared" si="0"/>
        <v>1.3731036256106968</v>
      </c>
      <c r="P9" s="43">
        <f>'Коэф.масшт.'!D7</f>
        <v>0.9905374132167653</v>
      </c>
      <c r="Q9" s="90">
        <f>(O9*P9)/(O15*P15)*'Расчет доли '!G9/100</f>
        <v>0.8272308968307898</v>
      </c>
      <c r="R9" s="90">
        <f t="shared" si="1"/>
        <v>1.6867395305638317</v>
      </c>
    </row>
    <row r="10" spans="1:18" ht="20.25" customHeight="1">
      <c r="A10" s="40">
        <v>4</v>
      </c>
      <c r="B10" s="41" t="s">
        <v>120</v>
      </c>
      <c r="C10" s="89">
        <f>+'Коэф.масшт.'!C8</f>
        <v>1461</v>
      </c>
      <c r="D10" s="43">
        <f>+'Коэф.масшт.'!D8</f>
        <v>1.639561943874059</v>
      </c>
      <c r="E10" s="90">
        <f>((C10*D10/C10)/(C15*D15/C15))*'Расчет доли '!G6/100</f>
        <v>0.6613254892454654</v>
      </c>
      <c r="F10" s="89">
        <f>+'Коэф.масшт.'!C8</f>
        <v>1461</v>
      </c>
      <c r="G10" s="91">
        <f>+'Коэф.дисп'!D12</f>
        <v>1.5078713210130048</v>
      </c>
      <c r="H10" s="43">
        <f>+'Коэф.масшт.'!D8</f>
        <v>1.639561943874059</v>
      </c>
      <c r="I10" s="90">
        <f>(F10*G10*H10/F10)/(F15*G15*H15/F15)*'Расчет доли '!G7/100</f>
        <v>0.47719570029494035</v>
      </c>
      <c r="J10" s="89">
        <f>'Коэф.масшт.'!C8</f>
        <v>1461</v>
      </c>
      <c r="K10" s="91">
        <f>+'Коэф.дисп'!D12</f>
        <v>1.5078713210130048</v>
      </c>
      <c r="L10" s="43">
        <f>+'Коэф.масшт.'!D8</f>
        <v>1.639561943874059</v>
      </c>
      <c r="M10" s="90">
        <f>((J10*K10*L10/J10)/(J15*K15*L15/J15))*'Расчет доли '!G8/100</f>
        <v>0.3588842769810223</v>
      </c>
      <c r="N10" s="92">
        <f>'Коэф.масшт.'!C8</f>
        <v>1461</v>
      </c>
      <c r="O10" s="91">
        <f t="shared" si="0"/>
        <v>1.5078713210130048</v>
      </c>
      <c r="P10" s="43">
        <f>'Коэф.масшт.'!D8</f>
        <v>1.639561943874059</v>
      </c>
      <c r="Q10" s="90">
        <f>(O10*P10)/(O15*P15)*'Расчет доли '!G9/100</f>
        <v>1.5036427329029038</v>
      </c>
      <c r="R10" s="90">
        <f t="shared" si="1"/>
        <v>3.001048199424332</v>
      </c>
    </row>
    <row r="11" spans="1:18" ht="20.25" customHeight="1">
      <c r="A11" s="40">
        <v>5</v>
      </c>
      <c r="B11" s="41" t="s">
        <v>121</v>
      </c>
      <c r="C11" s="89">
        <f>+'Коэф.масшт.'!C9</f>
        <v>3845</v>
      </c>
      <c r="D11" s="43">
        <f>+'Коэф.масшт.'!D9</f>
        <v>0.9950065019505853</v>
      </c>
      <c r="E11" s="90">
        <f>((C11*D11/C11)/(C15*D15/C15))*'Расчет доли '!G6/100</f>
        <v>0.40134083629074235</v>
      </c>
      <c r="F11" s="89">
        <f>+'Коэф.масшт.'!C9</f>
        <v>3845</v>
      </c>
      <c r="G11" s="91">
        <f>+'Коэф.дисп'!D14</f>
        <v>1.1334200260078022</v>
      </c>
      <c r="H11" s="43">
        <f>+'Коэф.масшт.'!D9</f>
        <v>0.9950065019505853</v>
      </c>
      <c r="I11" s="90">
        <f>(F11*G11*H11/F11)/(F15*G15*H15/F15)*'Расчет доли '!G7/100</f>
        <v>0.217681344822187</v>
      </c>
      <c r="J11" s="89">
        <f>'Коэф.масшт.'!C9</f>
        <v>3845</v>
      </c>
      <c r="K11" s="91">
        <f>+'Коэф.дисп'!D14</f>
        <v>1.1334200260078022</v>
      </c>
      <c r="L11" s="43">
        <f>+'Коэф.масшт.'!D9</f>
        <v>0.9950065019505853</v>
      </c>
      <c r="M11" s="90">
        <f>((J11*K11*L11/J11)/(J15*K15*L15/J15))*'Расчет доли '!G8/100</f>
        <v>0.16371147518823428</v>
      </c>
      <c r="N11" s="92">
        <f>'Коэф.масшт.'!C9</f>
        <v>3845</v>
      </c>
      <c r="O11" s="91">
        <f t="shared" si="0"/>
        <v>1.1334200260078022</v>
      </c>
      <c r="P11" s="43">
        <f>'Коэф.масшт.'!D9</f>
        <v>0.9950065019505853</v>
      </c>
      <c r="Q11" s="90">
        <f>(O11*P11)/(O15*P15)*'Расчет доли '!G9/100</f>
        <v>0.6859134984412246</v>
      </c>
      <c r="R11" s="90">
        <f t="shared" si="1"/>
        <v>1.4686471547423883</v>
      </c>
    </row>
    <row r="12" spans="1:18" ht="20.25" customHeight="1">
      <c r="A12" s="40">
        <v>6</v>
      </c>
      <c r="B12" s="41" t="s">
        <v>122</v>
      </c>
      <c r="C12" s="89">
        <f>+'Коэф.масшт.'!C10</f>
        <v>4420</v>
      </c>
      <c r="D12" s="43">
        <f>+'Коэф.масшт.'!D10</f>
        <v>0.9436199095022625</v>
      </c>
      <c r="E12" s="90">
        <f>((C12*D12/C12)/(C15*D15/C15))*'Расчет доли '!G6/100</f>
        <v>0.38061379787751437</v>
      </c>
      <c r="F12" s="89">
        <f>+'Коэф.масшт.'!C10</f>
        <v>4420</v>
      </c>
      <c r="G12" s="91">
        <f>+'Коэф.дисп'!D16</f>
        <v>1.3423076923076924</v>
      </c>
      <c r="H12" s="43">
        <f>+'Коэф.масшт.'!D10</f>
        <v>0.9436199095022625</v>
      </c>
      <c r="I12" s="90">
        <f>(F12*G12*H12/F12)/(F15*G15*H15/F15)*'Расчет доли '!G7/100</f>
        <v>0.24448576958641766</v>
      </c>
      <c r="J12" s="89">
        <f>'Коэф.масшт.'!C10</f>
        <v>4420</v>
      </c>
      <c r="K12" s="91">
        <f>+'Коэф.дисп'!D16</f>
        <v>1.3423076923076924</v>
      </c>
      <c r="L12" s="43">
        <f>+'Коэф.масшт.'!D10</f>
        <v>0.9436199095022625</v>
      </c>
      <c r="M12" s="90">
        <f>((J12*K12*L12/J12)/(J15*K15*L15/J15))*'Расчет доли '!G8/100</f>
        <v>0.1838702624435626</v>
      </c>
      <c r="N12" s="92">
        <f>'Коэф.масшт.'!C10</f>
        <v>4420</v>
      </c>
      <c r="O12" s="91">
        <f t="shared" si="0"/>
        <v>1.3423076923076924</v>
      </c>
      <c r="P12" s="43">
        <f>'Коэф.масшт.'!D10</f>
        <v>0.9436199095022625</v>
      </c>
      <c r="Q12" s="90">
        <f>(O12*P12)/(O15*P15)*'Расчет доли '!G9/100</f>
        <v>0.7703741892677916</v>
      </c>
      <c r="R12" s="90">
        <f t="shared" si="1"/>
        <v>1.579344019175286</v>
      </c>
    </row>
    <row r="13" spans="1:18" ht="20.25" customHeight="1">
      <c r="A13" s="40">
        <v>7</v>
      </c>
      <c r="B13" s="41" t="s">
        <v>123</v>
      </c>
      <c r="C13" s="89">
        <f>+'Коэф.масшт.'!C11</f>
        <v>2037</v>
      </c>
      <c r="D13" s="43">
        <f>+'Коэф.масшт.'!D11</f>
        <v>1.3456062837506138</v>
      </c>
      <c r="E13" s="90">
        <f>((C13*D13/C13)/(C15*D15/C15))*'Расчет доли '!G6/100</f>
        <v>0.542757007295787</v>
      </c>
      <c r="F13" s="89">
        <f>+'Коэф.масшт.'!C11</f>
        <v>2037</v>
      </c>
      <c r="G13" s="91">
        <f>+'Коэф.дисп'!D18</f>
        <v>1.076092292587138</v>
      </c>
      <c r="H13" s="43">
        <f>+'Коэф.масшт.'!D11</f>
        <v>1.3456062837506138</v>
      </c>
      <c r="I13" s="90">
        <f>(F13*G13*H13/F13)/(F15*G15*H15/F15)*'Расчет доли '!G7/100</f>
        <v>0.2794936457548597</v>
      </c>
      <c r="J13" s="89">
        <f>'Коэф.масшт.'!C11</f>
        <v>2037</v>
      </c>
      <c r="K13" s="91">
        <f>+'Коэф.дисп'!D18</f>
        <v>1.076092292587138</v>
      </c>
      <c r="L13" s="43">
        <f>+'Коэф.масшт.'!D11</f>
        <v>1.3456062837506138</v>
      </c>
      <c r="M13" s="90">
        <f>((J13*K13*L13/J13)/(J15*K15*L15/J15))*'Расчет доли '!G8/100</f>
        <v>0.21019861435366405</v>
      </c>
      <c r="N13" s="92">
        <f>'Коэф.масшт.'!C11</f>
        <v>2037</v>
      </c>
      <c r="O13" s="91">
        <f t="shared" si="0"/>
        <v>1.076092292587138</v>
      </c>
      <c r="P13" s="43">
        <f>'Коэф.масшт.'!D11</f>
        <v>1.3456062837506138</v>
      </c>
      <c r="Q13" s="90">
        <f>(O13*P13)/(O15*P15)*'Расчет доли '!G9/100</f>
        <v>0.8806839396752403</v>
      </c>
      <c r="R13" s="90">
        <f t="shared" si="1"/>
        <v>1.913133207079551</v>
      </c>
    </row>
    <row r="14" spans="1:18" ht="20.25" customHeight="1">
      <c r="A14" s="40">
        <v>8</v>
      </c>
      <c r="B14" s="41" t="s">
        <v>124</v>
      </c>
      <c r="C14" s="89">
        <f>+'Коэф.масшт.'!C12</f>
        <v>3230</v>
      </c>
      <c r="D14" s="43">
        <f>+'Коэф.масшт.'!D12</f>
        <v>1.0702167182662539</v>
      </c>
      <c r="E14" s="90">
        <f>((C14*D14/C14)/(C15*D15/C15))*'Расчет доли '!G6/100</f>
        <v>0.431677252238341</v>
      </c>
      <c r="F14" s="89">
        <f>+'Коэф.масшт.'!C12</f>
        <v>3230</v>
      </c>
      <c r="G14" s="91">
        <f>+'Коэф.дисп'!D20</f>
        <v>1.16656346749226</v>
      </c>
      <c r="H14" s="43">
        <f>+'Коэф.масшт.'!D12</f>
        <v>1.0702167182662539</v>
      </c>
      <c r="I14" s="90">
        <f>(F14*G14*H14/F14)/(F15*G15*H15/F15)*'Расчет доли '!G7/100</f>
        <v>0.24098194989163685</v>
      </c>
      <c r="J14" s="89">
        <f>'Коэф.масшт.'!C12</f>
        <v>3230</v>
      </c>
      <c r="K14" s="91">
        <f>+'Коэф.дисп'!D20</f>
        <v>1.16656346749226</v>
      </c>
      <c r="L14" s="43">
        <f>+'Коэф.масшт.'!D12</f>
        <v>1.0702167182662539</v>
      </c>
      <c r="M14" s="90">
        <f>((J14*K14*L14/J14)/(J15*K15*L15/J15))*'Расчет доли '!G8/100</f>
        <v>0.18123514691956252</v>
      </c>
      <c r="N14" s="92">
        <f>'Коэф.масшт.'!C12</f>
        <v>3230</v>
      </c>
      <c r="O14" s="91">
        <f t="shared" si="0"/>
        <v>1.16656346749226</v>
      </c>
      <c r="P14" s="43">
        <f>'Коэф.масшт.'!D12</f>
        <v>1.0702167182662539</v>
      </c>
      <c r="Q14" s="90">
        <f>(O14*P14)/(O15*P15)*'Расчет доли '!G9/100</f>
        <v>0.7593336601553059</v>
      </c>
      <c r="R14" s="90">
        <f t="shared" si="1"/>
        <v>1.6132280092048463</v>
      </c>
    </row>
    <row r="15" spans="1:20" s="68" customFormat="1" ht="20.25" customHeight="1">
      <c r="A15" s="47"/>
      <c r="B15" s="44" t="s">
        <v>68</v>
      </c>
      <c r="C15" s="93">
        <f>SUM(C7:C14)</f>
        <v>30376</v>
      </c>
      <c r="D15" s="60">
        <f>+'Коэф.масшт.'!D13</f>
        <v>0.6499999999999999</v>
      </c>
      <c r="E15" s="90">
        <f>((C15*D15/C15)/(C15*D15/C15))*'Расчет доли '!G6/100</f>
        <v>0.26218074261582874</v>
      </c>
      <c r="F15" s="94">
        <f>SUM(F7:F14)</f>
        <v>30376</v>
      </c>
      <c r="G15" s="95">
        <f>+'Коэф.дисп'!D91</f>
        <v>1.1994008427706084</v>
      </c>
      <c r="H15" s="60">
        <f>+'Коэф.масшт.'!D13</f>
        <v>0.6499999999999999</v>
      </c>
      <c r="I15" s="90">
        <f>(F15*G15*H15/F15)/(F15*G15*H15/F15)*'Расчет доли '!G7/100</f>
        <v>0.15048115560309983</v>
      </c>
      <c r="J15" s="94">
        <f>SUM(J7:J14)</f>
        <v>30376</v>
      </c>
      <c r="K15" s="95">
        <f>+'Коэф.дисп'!D91</f>
        <v>1.1994008427706084</v>
      </c>
      <c r="L15" s="60">
        <f>+'Коэф.масшт.'!D13</f>
        <v>0.6499999999999999</v>
      </c>
      <c r="M15" s="90">
        <f>((J15*K15*L15/J15)/(J15*K15*L15/J15))*'Расчет доли '!G8/100</f>
        <v>0.11317227019126143</v>
      </c>
      <c r="N15" s="94">
        <f>SUM(N7:N14)</f>
        <v>30376</v>
      </c>
      <c r="O15" s="95">
        <f t="shared" si="0"/>
        <v>1.1994008427706084</v>
      </c>
      <c r="P15" s="60">
        <f>'Коэф.масшт.'!D13</f>
        <v>0.6499999999999999</v>
      </c>
      <c r="Q15" s="90">
        <f>(O15*P15)/(O15*P15)*'Расчет доли '!G9/100</f>
        <v>0.47416583158980996</v>
      </c>
      <c r="R15" s="90">
        <f t="shared" si="1"/>
        <v>1</v>
      </c>
      <c r="T15" s="96"/>
    </row>
    <row r="16" spans="2:17" ht="12.75">
      <c r="B16" s="39"/>
      <c r="C16" s="39"/>
      <c r="D16" s="39"/>
      <c r="E16" s="97"/>
      <c r="F16" s="98"/>
      <c r="G16" s="98"/>
      <c r="H16" s="98"/>
      <c r="I16" s="99"/>
      <c r="J16" s="100"/>
      <c r="K16" s="100"/>
      <c r="L16" s="100"/>
      <c r="M16" s="101"/>
      <c r="N16" s="102"/>
      <c r="O16" s="102"/>
      <c r="P16" s="102"/>
      <c r="Q16" s="99"/>
    </row>
    <row r="17" spans="2:4" ht="12.75">
      <c r="B17" s="234"/>
      <c r="C17" s="234"/>
      <c r="D17" s="234"/>
    </row>
  </sheetData>
  <sheetProtection/>
  <mergeCells count="9">
    <mergeCell ref="A2:R2"/>
    <mergeCell ref="B17:D17"/>
    <mergeCell ref="R4:R5"/>
    <mergeCell ref="A4:A5"/>
    <mergeCell ref="B4:B5"/>
    <mergeCell ref="C4:E4"/>
    <mergeCell ref="J4:M4"/>
    <mergeCell ref="N4:Q4"/>
    <mergeCell ref="F4:I4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scale="58" r:id="rId1"/>
  <colBreaks count="1" manualBreakCount="1">
    <brk id="1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3.875" style="102" customWidth="1"/>
    <col min="2" max="2" width="12.875" style="102" customWidth="1"/>
    <col min="3" max="3" width="12.875" style="112" customWidth="1"/>
    <col min="4" max="4" width="12.875" style="99" customWidth="1"/>
    <col min="5" max="5" width="12.875" style="102" customWidth="1"/>
    <col min="6" max="6" width="12.875" style="112" customWidth="1"/>
    <col min="7" max="7" width="12.875" style="99" customWidth="1"/>
    <col min="8" max="10" width="12.875" style="102" customWidth="1"/>
    <col min="11" max="11" width="0" style="102" hidden="1" customWidth="1"/>
    <col min="12" max="12" width="9.125" style="102" customWidth="1"/>
    <col min="13" max="16384" width="9.125" style="37" customWidth="1"/>
  </cols>
  <sheetData>
    <row r="1" spans="1:12" s="15" customFormat="1" ht="18" customHeight="1">
      <c r="A1" s="134"/>
      <c r="B1" s="134"/>
      <c r="C1" s="135"/>
      <c r="D1" s="136"/>
      <c r="E1" s="134"/>
      <c r="F1" s="135"/>
      <c r="G1" s="136"/>
      <c r="H1" s="134"/>
      <c r="I1" s="134" t="s">
        <v>144</v>
      </c>
      <c r="J1" s="134"/>
      <c r="K1" s="134"/>
      <c r="L1" s="134"/>
    </row>
    <row r="2" spans="1:12" s="15" customFormat="1" ht="60" customHeight="1">
      <c r="A2" s="257" t="s">
        <v>169</v>
      </c>
      <c r="B2" s="257"/>
      <c r="C2" s="257"/>
      <c r="D2" s="257"/>
      <c r="E2" s="257"/>
      <c r="F2" s="257"/>
      <c r="G2" s="257"/>
      <c r="H2" s="257"/>
      <c r="I2" s="257"/>
      <c r="J2" s="257"/>
      <c r="K2" s="137"/>
      <c r="L2" s="137"/>
    </row>
    <row r="3" spans="1:12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3" s="51" customFormat="1" ht="32.25" customHeight="1">
      <c r="A4" s="263" t="s">
        <v>1</v>
      </c>
      <c r="B4" s="258" t="s">
        <v>105</v>
      </c>
      <c r="C4" s="258"/>
      <c r="D4" s="258"/>
      <c r="E4" s="260" t="s">
        <v>107</v>
      </c>
      <c r="F4" s="261"/>
      <c r="G4" s="262"/>
      <c r="H4" s="258" t="s">
        <v>101</v>
      </c>
      <c r="I4" s="258"/>
      <c r="J4" s="258"/>
      <c r="K4" s="114"/>
      <c r="L4" s="114"/>
      <c r="M4" s="53"/>
    </row>
    <row r="5" spans="1:12" s="51" customFormat="1" ht="102" customHeight="1">
      <c r="A5" s="264"/>
      <c r="B5" s="113" t="s">
        <v>79</v>
      </c>
      <c r="C5" s="115" t="s">
        <v>80</v>
      </c>
      <c r="D5" s="116" t="s">
        <v>81</v>
      </c>
      <c r="E5" s="113" t="s">
        <v>79</v>
      </c>
      <c r="F5" s="115" t="s">
        <v>80</v>
      </c>
      <c r="G5" s="116" t="s">
        <v>108</v>
      </c>
      <c r="H5" s="107" t="s">
        <v>79</v>
      </c>
      <c r="I5" s="117" t="s">
        <v>80</v>
      </c>
      <c r="J5" s="110" t="s">
        <v>81</v>
      </c>
      <c r="K5" s="118" t="s">
        <v>116</v>
      </c>
      <c r="L5" s="119"/>
    </row>
    <row r="6" spans="1:12" ht="12.75">
      <c r="A6" s="87">
        <v>1</v>
      </c>
      <c r="B6" s="87">
        <v>2</v>
      </c>
      <c r="C6" s="120">
        <v>3</v>
      </c>
      <c r="D6" s="121">
        <v>4</v>
      </c>
      <c r="E6" s="87"/>
      <c r="F6" s="120"/>
      <c r="G6" s="121"/>
      <c r="H6" s="63"/>
      <c r="I6" s="63"/>
      <c r="J6" s="63"/>
      <c r="K6" s="122"/>
      <c r="L6" s="122"/>
    </row>
    <row r="7" spans="1:13" ht="23.25" customHeight="1">
      <c r="A7" s="41" t="s">
        <v>117</v>
      </c>
      <c r="B7" s="123">
        <f>ИДП!D6</f>
        <v>1.0127218177818793</v>
      </c>
      <c r="C7" s="123">
        <f>+ИБР!R7</f>
        <v>1.2692133539520483</v>
      </c>
      <c r="D7" s="124">
        <f>B7/C7</f>
        <v>0.7979129865191606</v>
      </c>
      <c r="E7" s="123">
        <f>ИДП!G6</f>
        <v>1.002722782503835</v>
      </c>
      <c r="F7" s="123">
        <f>ИБР!R7</f>
        <v>1.2692133539520483</v>
      </c>
      <c r="G7" s="124">
        <f>E7/F7</f>
        <v>0.7900348506274214</v>
      </c>
      <c r="H7" s="123">
        <f>ИДП!J6</f>
        <v>0.9754927342000529</v>
      </c>
      <c r="I7" s="123">
        <f>ИБР!R7</f>
        <v>1.2692133539520483</v>
      </c>
      <c r="J7" s="124">
        <f>H7/I7</f>
        <v>0.768580578799132</v>
      </c>
      <c r="K7" s="125">
        <v>1.228</v>
      </c>
      <c r="L7" s="126"/>
      <c r="M7" s="127"/>
    </row>
    <row r="8" spans="1:13" ht="23.25" customHeight="1">
      <c r="A8" s="41" t="s">
        <v>118</v>
      </c>
      <c r="B8" s="123">
        <f>ИДП!D7</f>
        <v>0.8558196230502711</v>
      </c>
      <c r="C8" s="123">
        <f>+ИБР!R8</f>
        <v>1.222300659017359</v>
      </c>
      <c r="D8" s="124">
        <f>B8/C8</f>
        <v>0.7001711213493805</v>
      </c>
      <c r="E8" s="123">
        <f>ИДП!G7</f>
        <v>0.8473697501905503</v>
      </c>
      <c r="F8" s="123">
        <f>ИБР!R8</f>
        <v>1.222300659017359</v>
      </c>
      <c r="G8" s="124">
        <f aca="true" t="shared" si="0" ref="G8:G14">E8/F8</f>
        <v>0.6932580326609444</v>
      </c>
      <c r="H8" s="123">
        <f>ИДП!J7</f>
        <v>0.8387774085349289</v>
      </c>
      <c r="I8" s="123">
        <f>ИБР!R8</f>
        <v>1.222300659017359</v>
      </c>
      <c r="J8" s="124">
        <f aca="true" t="shared" si="1" ref="J8:J14">H8/I8</f>
        <v>0.6862283860742127</v>
      </c>
      <c r="K8" s="125">
        <v>0.336</v>
      </c>
      <c r="L8" s="126"/>
      <c r="M8" s="127"/>
    </row>
    <row r="9" spans="1:13" ht="23.25" customHeight="1">
      <c r="A9" s="41" t="s">
        <v>119</v>
      </c>
      <c r="B9" s="123">
        <f>ИДП!D8</f>
        <v>0.7344207607077229</v>
      </c>
      <c r="C9" s="123">
        <f>+ИБР!R9</f>
        <v>1.6867395305638317</v>
      </c>
      <c r="D9" s="124">
        <f aca="true" t="shared" si="2" ref="D9:D14">B9/C9</f>
        <v>0.4354085188613714</v>
      </c>
      <c r="E9" s="123">
        <f>ИДП!G8</f>
        <v>0.7555292968979701</v>
      </c>
      <c r="F9" s="123">
        <f>ИБР!R9</f>
        <v>1.6867395305638317</v>
      </c>
      <c r="G9" s="124">
        <f t="shared" si="0"/>
        <v>0.44792292064526223</v>
      </c>
      <c r="H9" s="123">
        <f>ИДП!J8</f>
        <v>0.8053516265335965</v>
      </c>
      <c r="I9" s="123">
        <f>ИБР!R9</f>
        <v>1.6867395305638317</v>
      </c>
      <c r="J9" s="124">
        <f t="shared" si="1"/>
        <v>0.4774605752343926</v>
      </c>
      <c r="K9" s="125">
        <v>0.214</v>
      </c>
      <c r="L9" s="126"/>
      <c r="M9" s="127"/>
    </row>
    <row r="10" spans="1:13" ht="23.25" customHeight="1">
      <c r="A10" s="41" t="s">
        <v>120</v>
      </c>
      <c r="B10" s="123">
        <f>ИДП!D9</f>
        <v>1.090329769192902</v>
      </c>
      <c r="C10" s="123">
        <f>+ИБР!R10</f>
        <v>3.001048199424332</v>
      </c>
      <c r="D10" s="124">
        <f t="shared" si="2"/>
        <v>0.36331631374732715</v>
      </c>
      <c r="E10" s="123">
        <f>ИДП!G9</f>
        <v>1.152005880703066</v>
      </c>
      <c r="F10" s="123">
        <f>ИБР!R10</f>
        <v>3.001048199424332</v>
      </c>
      <c r="G10" s="124">
        <f t="shared" si="0"/>
        <v>0.38386783688580756</v>
      </c>
      <c r="H10" s="123">
        <f>ИДП!J9</f>
        <v>1.2693021246100054</v>
      </c>
      <c r="I10" s="123">
        <f>ИБР!R10</f>
        <v>3.001048199424332</v>
      </c>
      <c r="J10" s="124">
        <f t="shared" si="1"/>
        <v>0.4229529285312664</v>
      </c>
      <c r="K10" s="125">
        <v>0.341</v>
      </c>
      <c r="L10" s="126"/>
      <c r="M10" s="127"/>
    </row>
    <row r="11" spans="1:13" ht="23.25" customHeight="1">
      <c r="A11" s="41" t="s">
        <v>121</v>
      </c>
      <c r="B11" s="123">
        <f>ИДП!D10</f>
        <v>0.9399071230225737</v>
      </c>
      <c r="C11" s="123">
        <f>+ИБР!R11</f>
        <v>1.4686471547423883</v>
      </c>
      <c r="D11" s="124">
        <f t="shared" si="2"/>
        <v>0.6399815775950899</v>
      </c>
      <c r="E11" s="123">
        <f>ИДП!G10</f>
        <v>0.9306270183421272</v>
      </c>
      <c r="F11" s="123">
        <f>ИБР!R11</f>
        <v>1.4686471547423883</v>
      </c>
      <c r="G11" s="124">
        <f t="shared" si="0"/>
        <v>0.6336627659932151</v>
      </c>
      <c r="H11" s="123">
        <f>ИДП!J10</f>
        <v>0.9333485089716327</v>
      </c>
      <c r="I11" s="123">
        <f>ИБР!R11</f>
        <v>1.4686471547423883</v>
      </c>
      <c r="J11" s="124">
        <f t="shared" si="1"/>
        <v>0.6355158255390139</v>
      </c>
      <c r="K11" s="125">
        <v>0.267</v>
      </c>
      <c r="L11" s="126"/>
      <c r="M11" s="127"/>
    </row>
    <row r="12" spans="1:13" ht="23.25" customHeight="1">
      <c r="A12" s="41" t="s">
        <v>122</v>
      </c>
      <c r="B12" s="123">
        <f>ИДП!D11</f>
        <v>1.3471750305843377</v>
      </c>
      <c r="C12" s="123">
        <f>+ИБР!R12</f>
        <v>1.579344019175286</v>
      </c>
      <c r="D12" s="124">
        <f t="shared" si="2"/>
        <v>0.8529965696060418</v>
      </c>
      <c r="E12" s="123">
        <f>ИДП!G11</f>
        <v>1.333873795812861</v>
      </c>
      <c r="F12" s="123">
        <f>ИБР!R12</f>
        <v>1.579344019175286</v>
      </c>
      <c r="G12" s="124">
        <f t="shared" si="0"/>
        <v>0.8445745699593642</v>
      </c>
      <c r="H12" s="123">
        <f>ИДП!J11</f>
        <v>1.287151367047087</v>
      </c>
      <c r="I12" s="123">
        <f>ИБР!R12</f>
        <v>1.579344019175286</v>
      </c>
      <c r="J12" s="124">
        <f t="shared" si="1"/>
        <v>0.8149911301270648</v>
      </c>
      <c r="K12" s="125">
        <v>0.347</v>
      </c>
      <c r="L12" s="126"/>
      <c r="M12" s="127"/>
    </row>
    <row r="13" spans="1:13" ht="23.25" customHeight="1">
      <c r="A13" s="41" t="s">
        <v>123</v>
      </c>
      <c r="B13" s="123">
        <f>ИДП!D12</f>
        <v>0.7447518004588104</v>
      </c>
      <c r="C13" s="123">
        <f>+ИБР!R13</f>
        <v>1.913133207079551</v>
      </c>
      <c r="D13" s="124">
        <f t="shared" si="2"/>
        <v>0.3892838186608521</v>
      </c>
      <c r="E13" s="123">
        <f>ИДП!G12</f>
        <v>0.7785311593632946</v>
      </c>
      <c r="F13" s="123">
        <f>ИБР!R13</f>
        <v>1.913133207079551</v>
      </c>
      <c r="G13" s="124">
        <f t="shared" si="0"/>
        <v>0.4069403826572763</v>
      </c>
      <c r="H13" s="123">
        <f>ИДП!J12</f>
        <v>0.8467269519179954</v>
      </c>
      <c r="I13" s="123">
        <f>ИБР!R13</f>
        <v>1.913133207079551</v>
      </c>
      <c r="J13" s="124">
        <f t="shared" si="1"/>
        <v>0.44258651137551824</v>
      </c>
      <c r="K13" s="125">
        <v>0.285</v>
      </c>
      <c r="L13" s="126"/>
      <c r="M13" s="127"/>
    </row>
    <row r="14" spans="1:13" ht="23.25" customHeight="1">
      <c r="A14" s="41" t="s">
        <v>124</v>
      </c>
      <c r="B14" s="123">
        <f>ИДП!D13</f>
        <v>1.253325171470185</v>
      </c>
      <c r="C14" s="123">
        <f>+ИБР!R14</f>
        <v>1.6132280092048463</v>
      </c>
      <c r="D14" s="124">
        <f t="shared" si="2"/>
        <v>0.776905164253839</v>
      </c>
      <c r="E14" s="123">
        <f>ИДП!G13</f>
        <v>1.2409505564630354</v>
      </c>
      <c r="F14" s="123">
        <f>ИБР!R14</f>
        <v>1.6132280092048463</v>
      </c>
      <c r="G14" s="124">
        <f t="shared" si="0"/>
        <v>0.7692344475686949</v>
      </c>
      <c r="H14" s="123">
        <f>ИДП!J13</f>
        <v>1.2113414292028517</v>
      </c>
      <c r="I14" s="123">
        <f>ИБР!R14</f>
        <v>1.6132280092048463</v>
      </c>
      <c r="J14" s="124">
        <f t="shared" si="1"/>
        <v>0.7508804845261254</v>
      </c>
      <c r="K14" s="125">
        <v>0.281</v>
      </c>
      <c r="L14" s="126"/>
      <c r="M14" s="127"/>
    </row>
    <row r="15" spans="1:12" ht="23.25" customHeight="1">
      <c r="A15" s="103" t="s">
        <v>68</v>
      </c>
      <c r="B15" s="124"/>
      <c r="C15" s="123"/>
      <c r="D15" s="124"/>
      <c r="E15" s="123"/>
      <c r="F15" s="123"/>
      <c r="G15" s="124"/>
      <c r="H15" s="123"/>
      <c r="I15" s="123"/>
      <c r="J15" s="123"/>
      <c r="K15" s="128"/>
      <c r="L15" s="129"/>
    </row>
    <row r="16" spans="1:12" ht="30" customHeight="1">
      <c r="A16" s="130" t="s">
        <v>90</v>
      </c>
      <c r="B16" s="131"/>
      <c r="C16" s="131"/>
      <c r="D16" s="132">
        <f>(D7+D12+D13+D10)/4</f>
        <v>0.6008774221333454</v>
      </c>
      <c r="E16" s="131"/>
      <c r="F16" s="131"/>
      <c r="G16" s="132">
        <f>(G12+G10)/2</f>
        <v>0.6142212034225859</v>
      </c>
      <c r="H16" s="131"/>
      <c r="I16" s="131"/>
      <c r="J16" s="132"/>
      <c r="K16" s="99"/>
      <c r="L16" s="99"/>
    </row>
    <row r="17" spans="1:5" ht="18.75" customHeight="1">
      <c r="A17" s="259"/>
      <c r="B17" s="259"/>
      <c r="C17" s="259"/>
      <c r="D17" s="131"/>
      <c r="E17" s="133"/>
    </row>
  </sheetData>
  <sheetProtection/>
  <mergeCells count="6">
    <mergeCell ref="A2:J2"/>
    <mergeCell ref="H4:J4"/>
    <mergeCell ref="A17:C17"/>
    <mergeCell ref="B4:D4"/>
    <mergeCell ref="E4:G4"/>
    <mergeCell ref="A4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6.875" style="26" customWidth="1"/>
    <col min="2" max="2" width="26.875" style="26" customWidth="1"/>
    <col min="3" max="14" width="10.375" style="26" customWidth="1"/>
    <col min="15" max="16384" width="9.125" style="26" customWidth="1"/>
  </cols>
  <sheetData>
    <row r="1" s="33" customFormat="1" ht="15.75">
      <c r="M1" s="33" t="s">
        <v>145</v>
      </c>
    </row>
    <row r="2" spans="1:14" s="33" customFormat="1" ht="12.75" customHeight="1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s="33" customFormat="1" ht="33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5" spans="1:14" s="69" customFormat="1" ht="25.5" customHeight="1">
      <c r="A5" s="266" t="s">
        <v>0</v>
      </c>
      <c r="B5" s="266" t="s">
        <v>1</v>
      </c>
      <c r="C5" s="227" t="s">
        <v>103</v>
      </c>
      <c r="D5" s="227"/>
      <c r="E5" s="227"/>
      <c r="F5" s="227" t="s">
        <v>94</v>
      </c>
      <c r="G5" s="227"/>
      <c r="H5" s="227"/>
      <c r="I5" s="227"/>
      <c r="J5" s="227" t="s">
        <v>99</v>
      </c>
      <c r="K5" s="227"/>
      <c r="L5" s="227"/>
      <c r="M5" s="227"/>
      <c r="N5" s="227"/>
    </row>
    <row r="6" spans="1:15" s="69" customFormat="1" ht="50.25" customHeight="1">
      <c r="A6" s="266"/>
      <c r="B6" s="266"/>
      <c r="C6" s="140" t="s">
        <v>78</v>
      </c>
      <c r="D6" s="141" t="s">
        <v>95</v>
      </c>
      <c r="E6" s="18" t="s">
        <v>96</v>
      </c>
      <c r="F6" s="140" t="s">
        <v>78</v>
      </c>
      <c r="G6" s="141" t="s">
        <v>95</v>
      </c>
      <c r="H6" s="141" t="s">
        <v>93</v>
      </c>
      <c r="I6" s="18" t="s">
        <v>96</v>
      </c>
      <c r="J6" s="140" t="s">
        <v>78</v>
      </c>
      <c r="K6" s="141" t="s">
        <v>95</v>
      </c>
      <c r="L6" s="141" t="s">
        <v>93</v>
      </c>
      <c r="M6" s="141" t="s">
        <v>100</v>
      </c>
      <c r="N6" s="18" t="s">
        <v>96</v>
      </c>
      <c r="O6" s="28"/>
    </row>
    <row r="7" spans="1:14" s="145" customFormat="1" ht="12.75">
      <c r="A7" s="142">
        <v>1</v>
      </c>
      <c r="B7" s="142">
        <v>2</v>
      </c>
      <c r="C7" s="143">
        <v>3</v>
      </c>
      <c r="D7" s="144"/>
      <c r="E7" s="144"/>
      <c r="F7" s="143">
        <v>3</v>
      </c>
      <c r="G7" s="142"/>
      <c r="H7" s="144"/>
      <c r="I7" s="144"/>
      <c r="J7" s="143">
        <v>3</v>
      </c>
      <c r="K7" s="144"/>
      <c r="L7" s="142"/>
      <c r="M7" s="142"/>
      <c r="N7" s="144"/>
    </row>
    <row r="8" spans="1:14" ht="26.25" customHeight="1">
      <c r="A8" s="30">
        <v>1</v>
      </c>
      <c r="B8" s="31" t="s">
        <v>117</v>
      </c>
      <c r="C8" s="4">
        <f>'Налоговый потен'!M7</f>
        <v>12742.525698157426</v>
      </c>
      <c r="D8" s="4">
        <f>'субв от числ уточ'!D6</f>
        <v>2601.9235160982353</v>
      </c>
      <c r="E8" s="4">
        <f>+C8+D8</f>
        <v>15344.449214255661</v>
      </c>
      <c r="F8" s="4">
        <f>+C8</f>
        <v>12742.525698157426</v>
      </c>
      <c r="G8" s="4">
        <f>D8</f>
        <v>2601.9235160982353</v>
      </c>
      <c r="H8" s="4">
        <f>'Дотац 4000'!J6</f>
        <v>0</v>
      </c>
      <c r="I8" s="4">
        <f>F8+G8+H8</f>
        <v>15344.449214255661</v>
      </c>
      <c r="J8" s="4">
        <f>'Налоговый потен'!M7</f>
        <v>12742.525698157426</v>
      </c>
      <c r="K8" s="4">
        <f>'субв от числ уточ'!D6</f>
        <v>2601.9235160982353</v>
      </c>
      <c r="L8" s="4">
        <f>'Дотац 4000'!J6</f>
        <v>0</v>
      </c>
      <c r="M8" s="4">
        <f>'Дотац 4000'!N6</f>
        <v>414.58843903403334</v>
      </c>
      <c r="N8" s="4">
        <f>J8+L8+K8+M8</f>
        <v>15759.037653289693</v>
      </c>
    </row>
    <row r="9" spans="1:14" ht="26.25" customHeight="1">
      <c r="A9" s="30">
        <v>2</v>
      </c>
      <c r="B9" s="31" t="s">
        <v>118</v>
      </c>
      <c r="C9" s="4">
        <f>'Налоговый потен'!M8</f>
        <v>9181.570355705486</v>
      </c>
      <c r="D9" s="4">
        <f>'субв от числ уточ'!D7</f>
        <v>2304.8047684026865</v>
      </c>
      <c r="E9" s="4">
        <f aca="true" t="shared" si="0" ref="E9:E15">+C9+D9</f>
        <v>11486.375124108172</v>
      </c>
      <c r="F9" s="4">
        <f aca="true" t="shared" si="1" ref="F9:F15">C9</f>
        <v>9181.570355705486</v>
      </c>
      <c r="G9" s="4">
        <f aca="true" t="shared" si="2" ref="G9:G15">D9</f>
        <v>2304.8047684026865</v>
      </c>
      <c r="H9" s="4">
        <f>'Дотац 4000'!J7</f>
        <v>0</v>
      </c>
      <c r="I9" s="4">
        <f aca="true" t="shared" si="3" ref="I9:I15">F9+G9+H9</f>
        <v>11486.375124108172</v>
      </c>
      <c r="J9" s="4">
        <f>'Налоговый потен'!M8</f>
        <v>9181.570355705486</v>
      </c>
      <c r="K9" s="4">
        <f>'субв от числ уточ'!D7</f>
        <v>2304.8047684026865</v>
      </c>
      <c r="L9" s="4">
        <f>'Дотац 4000'!J7</f>
        <v>0</v>
      </c>
      <c r="M9" s="4">
        <f>'Дотац 4000'!N7</f>
        <v>516.6854137983694</v>
      </c>
      <c r="N9" s="4">
        <f aca="true" t="shared" si="4" ref="N9:N15">J9+L9+K9+M9</f>
        <v>12003.060537906542</v>
      </c>
    </row>
    <row r="10" spans="1:14" ht="26.25" customHeight="1">
      <c r="A10" s="30">
        <v>3</v>
      </c>
      <c r="B10" s="31" t="s">
        <v>119</v>
      </c>
      <c r="C10" s="4">
        <f>'Налоговый потен'!M9</f>
        <v>5440.0024558609075</v>
      </c>
      <c r="D10" s="4">
        <f>'субв от числ уточ'!D8</f>
        <v>1660.1931922241242</v>
      </c>
      <c r="E10" s="4">
        <f t="shared" si="0"/>
        <v>7100.195648085031</v>
      </c>
      <c r="F10" s="4">
        <f t="shared" si="1"/>
        <v>5440.0024558609075</v>
      </c>
      <c r="G10" s="4">
        <f t="shared" si="2"/>
        <v>1660.1931922241242</v>
      </c>
      <c r="H10" s="4">
        <f>'Дотац 4000'!J8</f>
        <v>276.9093418053458</v>
      </c>
      <c r="I10" s="4">
        <f t="shared" si="3"/>
        <v>7377.104989890377</v>
      </c>
      <c r="J10" s="4">
        <f>'Налоговый потен'!M9</f>
        <v>5440.0024558609075</v>
      </c>
      <c r="K10" s="4">
        <f>'субв от числ уточ'!D8</f>
        <v>1660.1931922241242</v>
      </c>
      <c r="L10" s="4">
        <f>'Дотац 4000'!J8</f>
        <v>276.9093418053458</v>
      </c>
      <c r="M10" s="4">
        <f>'Дотац 4000'!N8</f>
        <v>924.3731296599016</v>
      </c>
      <c r="N10" s="4">
        <f t="shared" si="4"/>
        <v>8301.478119550278</v>
      </c>
    </row>
    <row r="11" spans="1:14" ht="26.25" customHeight="1">
      <c r="A11" s="30">
        <v>4</v>
      </c>
      <c r="B11" s="31" t="s">
        <v>120</v>
      </c>
      <c r="C11" s="4">
        <f>'Налоговый потен'!M10</f>
        <v>3336.309753447514</v>
      </c>
      <c r="D11" s="4">
        <f>'субв от числ уточ'!D9</f>
        <v>623.6932333091914</v>
      </c>
      <c r="E11" s="4">
        <f t="shared" si="0"/>
        <v>3960.0029867567055</v>
      </c>
      <c r="F11" s="4">
        <f t="shared" si="1"/>
        <v>3336.309753447514</v>
      </c>
      <c r="G11" s="4">
        <f t="shared" si="2"/>
        <v>623.6932333091914</v>
      </c>
      <c r="H11" s="4">
        <f>'Дотац 4000'!J9</f>
        <v>265.7258359791882</v>
      </c>
      <c r="I11" s="4">
        <f t="shared" si="3"/>
        <v>4225.728822735894</v>
      </c>
      <c r="J11" s="4">
        <f>'Налоговый потен'!M10</f>
        <v>3336.309753447514</v>
      </c>
      <c r="K11" s="4">
        <f>'субв от числ уточ'!D9</f>
        <v>623.6932333091914</v>
      </c>
      <c r="L11" s="4">
        <f>'Дотац 4000'!J9</f>
        <v>265.7258359791882</v>
      </c>
      <c r="M11" s="4">
        <f>'Дотац 4000'!N9</f>
        <v>689.5387801365058</v>
      </c>
      <c r="N11" s="4">
        <f t="shared" si="4"/>
        <v>4915.2676028724</v>
      </c>
    </row>
    <row r="12" spans="1:14" ht="26.25" customHeight="1">
      <c r="A12" s="30">
        <v>5</v>
      </c>
      <c r="B12" s="31" t="s">
        <v>121</v>
      </c>
      <c r="C12" s="4">
        <f>'Налоговый потен'!M11</f>
        <v>7342.568360812999</v>
      </c>
      <c r="D12" s="4">
        <f>'субв от числ уточ'!D10</f>
        <v>1641.4103231169345</v>
      </c>
      <c r="E12" s="4">
        <f t="shared" si="0"/>
        <v>8983.978683929934</v>
      </c>
      <c r="F12" s="4">
        <f t="shared" si="1"/>
        <v>7342.568360812999</v>
      </c>
      <c r="G12" s="4">
        <f t="shared" si="2"/>
        <v>1641.4103231169345</v>
      </c>
      <c r="H12" s="4">
        <f>'Дотац 4000'!J10</f>
        <v>0</v>
      </c>
      <c r="I12" s="4">
        <f t="shared" si="3"/>
        <v>8983.978683929934</v>
      </c>
      <c r="J12" s="4">
        <f>'Налоговый потен'!M11</f>
        <v>7342.568360812999</v>
      </c>
      <c r="K12" s="4">
        <f>'субв от числ уточ'!D10</f>
        <v>1641.4103231169345</v>
      </c>
      <c r="L12" s="4">
        <f>'Дотац 4000'!J10</f>
        <v>0</v>
      </c>
      <c r="M12" s="4">
        <f>'Дотац 4000'!N10</f>
        <v>528.027554190281</v>
      </c>
      <c r="N12" s="4">
        <f t="shared" si="4"/>
        <v>9512.006238120215</v>
      </c>
    </row>
    <row r="13" spans="1:14" ht="26.25" customHeight="1">
      <c r="A13" s="30">
        <v>6</v>
      </c>
      <c r="B13" s="31" t="s">
        <v>122</v>
      </c>
      <c r="C13" s="4">
        <f>'Налоговый потен'!M12</f>
        <v>12915.579253193484</v>
      </c>
      <c r="D13" s="4">
        <f>'субв от числ уточ'!D11</f>
        <v>1886.8748057677112</v>
      </c>
      <c r="E13" s="4">
        <f t="shared" si="0"/>
        <v>14802.454058961195</v>
      </c>
      <c r="F13" s="4">
        <f t="shared" si="1"/>
        <v>12915.579253193484</v>
      </c>
      <c r="G13" s="4">
        <f t="shared" si="2"/>
        <v>1886.8748057677112</v>
      </c>
      <c r="H13" s="4">
        <f>'Дотац 4000'!J11</f>
        <v>0</v>
      </c>
      <c r="I13" s="4">
        <f t="shared" si="3"/>
        <v>14802.454058961195</v>
      </c>
      <c r="J13" s="4">
        <f>'Налоговый потен'!M12</f>
        <v>12915.579253193484</v>
      </c>
      <c r="K13" s="4">
        <f>'субв от числ уточ'!D11</f>
        <v>1886.8748057677112</v>
      </c>
      <c r="L13" s="4">
        <f>'Дотац 4000'!J11</f>
        <v>0</v>
      </c>
      <c r="M13" s="4">
        <f>'Дотац 4000'!N11</f>
        <v>276.93810524671704</v>
      </c>
      <c r="N13" s="4">
        <f t="shared" si="4"/>
        <v>15079.392164207913</v>
      </c>
    </row>
    <row r="14" spans="1:14" ht="30.75" customHeight="1">
      <c r="A14" s="30">
        <v>7</v>
      </c>
      <c r="B14" s="31" t="s">
        <v>123</v>
      </c>
      <c r="C14" s="4">
        <f>'Налоговый потен'!M13</f>
        <v>2901.706162741507</v>
      </c>
      <c r="D14" s="4">
        <f>'субв от числ уточ'!D12</f>
        <v>869.5846107124045</v>
      </c>
      <c r="E14" s="4">
        <f t="shared" si="0"/>
        <v>3771.2907734539112</v>
      </c>
      <c r="F14" s="4">
        <f t="shared" si="1"/>
        <v>2901.706162741507</v>
      </c>
      <c r="G14" s="4">
        <f t="shared" si="2"/>
        <v>869.5846107124045</v>
      </c>
      <c r="H14" s="4">
        <f>'Дотац 4000'!J12</f>
        <v>210.36526236535434</v>
      </c>
      <c r="I14" s="4">
        <f t="shared" si="3"/>
        <v>3981.6560358192655</v>
      </c>
      <c r="J14" s="4">
        <f>'Налоговый потен'!M13</f>
        <v>2901.706162741507</v>
      </c>
      <c r="K14" s="4">
        <f>'субв от числ уточ'!D12</f>
        <v>869.5846107124045</v>
      </c>
      <c r="L14" s="4">
        <f>'Дотац 4000'!J12</f>
        <v>210.36526236535434</v>
      </c>
      <c r="M14" s="4">
        <f>'Дотац 4000'!N12</f>
        <v>589.924312454281</v>
      </c>
      <c r="N14" s="4">
        <f t="shared" si="4"/>
        <v>4571.580348273546</v>
      </c>
    </row>
    <row r="15" spans="1:14" ht="26.25" customHeight="1">
      <c r="A15" s="30">
        <v>8</v>
      </c>
      <c r="B15" s="31" t="s">
        <v>124</v>
      </c>
      <c r="C15" s="4">
        <f>'Налоговый потен'!M14</f>
        <v>8684.737960080674</v>
      </c>
      <c r="D15" s="4">
        <f>'субв от числ уточ'!D13</f>
        <v>1378.870050368712</v>
      </c>
      <c r="E15" s="4">
        <f t="shared" si="0"/>
        <v>10063.608010449387</v>
      </c>
      <c r="F15" s="4">
        <f t="shared" si="1"/>
        <v>8684.737960080674</v>
      </c>
      <c r="G15" s="4">
        <f t="shared" si="2"/>
        <v>1378.870050368712</v>
      </c>
      <c r="H15" s="4">
        <f>'Дотац 4000'!J13</f>
        <v>0</v>
      </c>
      <c r="I15" s="4">
        <f t="shared" si="3"/>
        <v>10063.608010449387</v>
      </c>
      <c r="J15" s="4">
        <f>'Налоговый потен'!M14</f>
        <v>8684.737960080674</v>
      </c>
      <c r="K15" s="4">
        <f>'субв от числ уточ'!D13</f>
        <v>1378.870050368712</v>
      </c>
      <c r="L15" s="4">
        <f>'Дотац 4000'!J13</f>
        <v>0</v>
      </c>
      <c r="M15" s="4">
        <f>'Дотац 4000'!N13</f>
        <v>306.9240253300226</v>
      </c>
      <c r="N15" s="4">
        <f t="shared" si="4"/>
        <v>10370.53203577941</v>
      </c>
    </row>
    <row r="16" spans="1:14" ht="26.25" customHeight="1">
      <c r="A16" s="30"/>
      <c r="B16" s="3" t="s">
        <v>14</v>
      </c>
      <c r="C16" s="10">
        <f aca="true" t="shared" si="5" ref="C16:N16">SUM(C8:C15)</f>
        <v>62545</v>
      </c>
      <c r="D16" s="10">
        <f>SUM(D8:D15)</f>
        <v>12967.3545</v>
      </c>
      <c r="E16" s="10">
        <f t="shared" si="5"/>
        <v>75512.3545</v>
      </c>
      <c r="F16" s="10">
        <f t="shared" si="5"/>
        <v>62545</v>
      </c>
      <c r="G16" s="10">
        <f>SUM(G8:G15)</f>
        <v>12967.3545</v>
      </c>
      <c r="H16" s="10">
        <f t="shared" si="5"/>
        <v>753.0004401498884</v>
      </c>
      <c r="I16" s="10">
        <f t="shared" si="5"/>
        <v>76265.35494014987</v>
      </c>
      <c r="J16" s="10">
        <f t="shared" si="5"/>
        <v>62545</v>
      </c>
      <c r="K16" s="10">
        <f>SUM(K8:K15)</f>
        <v>12967.3545</v>
      </c>
      <c r="L16" s="10">
        <f t="shared" si="5"/>
        <v>753.0004401498884</v>
      </c>
      <c r="M16" s="10">
        <f t="shared" si="5"/>
        <v>4246.999759850111</v>
      </c>
      <c r="N16" s="10">
        <f t="shared" si="5"/>
        <v>80512.35470000001</v>
      </c>
    </row>
    <row r="17" spans="2:10" ht="12.75">
      <c r="B17" s="146"/>
      <c r="C17" s="147"/>
      <c r="F17" s="147"/>
      <c r="J17" s="147"/>
    </row>
    <row r="18" ht="12.75">
      <c r="B18" s="148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6.00390625" style="37" customWidth="1"/>
    <col min="2" max="10" width="13.125" style="37" customWidth="1"/>
    <col min="11" max="16384" width="9.125" style="37" customWidth="1"/>
  </cols>
  <sheetData>
    <row r="1" s="15" customFormat="1" ht="15.75">
      <c r="J1" s="15" t="s">
        <v>146</v>
      </c>
    </row>
    <row r="2" spans="1:10" s="15" customFormat="1" ht="68.25" customHeight="1">
      <c r="A2" s="267" t="s">
        <v>172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15" customFormat="1" ht="24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1" s="51" customFormat="1" ht="34.5" customHeight="1">
      <c r="A4" s="268" t="s">
        <v>1</v>
      </c>
      <c r="B4" s="250" t="s">
        <v>104</v>
      </c>
      <c r="C4" s="250"/>
      <c r="D4" s="250"/>
      <c r="E4" s="250" t="s">
        <v>114</v>
      </c>
      <c r="F4" s="250"/>
      <c r="G4" s="250"/>
      <c r="H4" s="250" t="s">
        <v>111</v>
      </c>
      <c r="I4" s="250"/>
      <c r="J4" s="250"/>
      <c r="K4" s="53"/>
    </row>
    <row r="5" spans="1:10" s="51" customFormat="1" ht="87.75" customHeight="1">
      <c r="A5" s="268"/>
      <c r="B5" s="49" t="s">
        <v>73</v>
      </c>
      <c r="C5" s="49" t="s">
        <v>76</v>
      </c>
      <c r="D5" s="149" t="s">
        <v>77</v>
      </c>
      <c r="E5" s="49" t="s">
        <v>73</v>
      </c>
      <c r="F5" s="49" t="s">
        <v>76</v>
      </c>
      <c r="G5" s="149" t="s">
        <v>77</v>
      </c>
      <c r="H5" s="49" t="s">
        <v>73</v>
      </c>
      <c r="I5" s="49" t="s">
        <v>76</v>
      </c>
      <c r="J5" s="149" t="s">
        <v>77</v>
      </c>
    </row>
    <row r="6" spans="1:10" ht="30" customHeight="1">
      <c r="A6" s="41" t="s">
        <v>117</v>
      </c>
      <c r="B6" s="92">
        <f>'субв от числ уточ'!C6</f>
        <v>6095</v>
      </c>
      <c r="C6" s="199">
        <f>+ДП!E8</f>
        <v>15344.449214255661</v>
      </c>
      <c r="D6" s="150">
        <f>(C6/B6)/(C14/B14)</f>
        <v>1.0127218177818793</v>
      </c>
      <c r="E6" s="199">
        <f>B6</f>
        <v>6095</v>
      </c>
      <c r="F6" s="199">
        <f>ДП!I8</f>
        <v>15344.449214255661</v>
      </c>
      <c r="G6" s="150">
        <f>(F6/E6)/(F14/E14)</f>
        <v>1.002722782503835</v>
      </c>
      <c r="H6" s="199">
        <f>'Коэф.масшт.'!C5</f>
        <v>6095</v>
      </c>
      <c r="I6" s="199">
        <f>ДП!N8</f>
        <v>15759.037653289693</v>
      </c>
      <c r="J6" s="150">
        <f>(I6/H6)/(I14/H14)</f>
        <v>0.9754927342000529</v>
      </c>
    </row>
    <row r="7" spans="1:10" ht="24" customHeight="1">
      <c r="A7" s="41" t="s">
        <v>118</v>
      </c>
      <c r="B7" s="92">
        <f>'субв от числ уточ'!C7</f>
        <v>5399</v>
      </c>
      <c r="C7" s="199">
        <f>+ДП!E9</f>
        <v>11486.375124108172</v>
      </c>
      <c r="D7" s="150">
        <f>(C7/B7)/(C14/B14)</f>
        <v>0.8558196230502711</v>
      </c>
      <c r="E7" s="199">
        <f aca="true" t="shared" si="0" ref="E7:E13">B7</f>
        <v>5399</v>
      </c>
      <c r="F7" s="199">
        <f>ДП!I9</f>
        <v>11486.375124108172</v>
      </c>
      <c r="G7" s="150">
        <f>(F7/E7)/(F14/E14)</f>
        <v>0.8473697501905503</v>
      </c>
      <c r="H7" s="199">
        <f>'Коэф.масшт.'!C6</f>
        <v>5399</v>
      </c>
      <c r="I7" s="199">
        <f>ДП!N9</f>
        <v>12003.060537906542</v>
      </c>
      <c r="J7" s="150">
        <f>(I7/H7)/(I14/H14)</f>
        <v>0.8387774085349289</v>
      </c>
    </row>
    <row r="8" spans="1:10" ht="26.25" customHeight="1">
      <c r="A8" s="41" t="s">
        <v>119</v>
      </c>
      <c r="B8" s="92">
        <f>'субв от числ уточ'!C8</f>
        <v>3889</v>
      </c>
      <c r="C8" s="199">
        <f>+ДП!E10</f>
        <v>7100.195648085031</v>
      </c>
      <c r="D8" s="150">
        <f>(C8/B8)/(C14/B14)</f>
        <v>0.7344207607077229</v>
      </c>
      <c r="E8" s="199">
        <f t="shared" si="0"/>
        <v>3889</v>
      </c>
      <c r="F8" s="199">
        <f>ДП!I10</f>
        <v>7377.104989890377</v>
      </c>
      <c r="G8" s="150">
        <f>(F8/E8)/(F14/E14)</f>
        <v>0.7555292968979701</v>
      </c>
      <c r="H8" s="199">
        <f>'Коэф.масшт.'!C7</f>
        <v>3889</v>
      </c>
      <c r="I8" s="199">
        <f>ДП!N10</f>
        <v>8301.478119550278</v>
      </c>
      <c r="J8" s="150">
        <f>(I8/H8)/(I14/H14)</f>
        <v>0.8053516265335965</v>
      </c>
    </row>
    <row r="9" spans="1:10" ht="29.25" customHeight="1">
      <c r="A9" s="41" t="s">
        <v>120</v>
      </c>
      <c r="B9" s="92">
        <f>'субв от числ уточ'!C9</f>
        <v>1461</v>
      </c>
      <c r="C9" s="199">
        <f>+ДП!E11</f>
        <v>3960.0029867567055</v>
      </c>
      <c r="D9" s="150">
        <f>(C9/B9)/(C14/B14)</f>
        <v>1.090329769192902</v>
      </c>
      <c r="E9" s="199">
        <f t="shared" si="0"/>
        <v>1461</v>
      </c>
      <c r="F9" s="199">
        <f>ДП!I11</f>
        <v>4225.728822735894</v>
      </c>
      <c r="G9" s="150">
        <f>(F9/E9)/(F14/E14)</f>
        <v>1.152005880703066</v>
      </c>
      <c r="H9" s="199">
        <f>'Коэф.масшт.'!C8</f>
        <v>1461</v>
      </c>
      <c r="I9" s="199">
        <f>ДП!N11</f>
        <v>4915.2676028724</v>
      </c>
      <c r="J9" s="150">
        <f>(I9/H9)/(I14/H14)</f>
        <v>1.2693021246100054</v>
      </c>
    </row>
    <row r="10" spans="1:10" ht="25.5" customHeight="1">
      <c r="A10" s="41" t="s">
        <v>121</v>
      </c>
      <c r="B10" s="92">
        <f>'субв от числ уточ'!C10</f>
        <v>3845</v>
      </c>
      <c r="C10" s="199">
        <f>+ДП!E12</f>
        <v>8983.978683929934</v>
      </c>
      <c r="D10" s="150">
        <f>(C10/B10)/(C14/B14)</f>
        <v>0.9399071230225737</v>
      </c>
      <c r="E10" s="199">
        <f t="shared" si="0"/>
        <v>3845</v>
      </c>
      <c r="F10" s="199">
        <f>ДП!I12</f>
        <v>8983.978683929934</v>
      </c>
      <c r="G10" s="150">
        <f>(F10/E10)/(F14/E14)</f>
        <v>0.9306270183421272</v>
      </c>
      <c r="H10" s="199">
        <f>'Коэф.масшт.'!C9</f>
        <v>3845</v>
      </c>
      <c r="I10" s="199">
        <f>ДП!N12</f>
        <v>9512.006238120215</v>
      </c>
      <c r="J10" s="150">
        <f>(I10/H10)/(I14/H14)</f>
        <v>0.9333485089716327</v>
      </c>
    </row>
    <row r="11" spans="1:10" ht="27.75" customHeight="1">
      <c r="A11" s="41" t="s">
        <v>122</v>
      </c>
      <c r="B11" s="92">
        <f>'субв от числ уточ'!C11</f>
        <v>4420</v>
      </c>
      <c r="C11" s="199">
        <f>+ДП!E13</f>
        <v>14802.454058961195</v>
      </c>
      <c r="D11" s="150">
        <f>(C11/B11)/(C14/B14)</f>
        <v>1.3471750305843377</v>
      </c>
      <c r="E11" s="199">
        <f t="shared" si="0"/>
        <v>4420</v>
      </c>
      <c r="F11" s="199">
        <f>ДП!I13</f>
        <v>14802.454058961195</v>
      </c>
      <c r="G11" s="150">
        <f>(F11/E11)/(F14/E14)</f>
        <v>1.333873795812861</v>
      </c>
      <c r="H11" s="199">
        <f>'Коэф.масшт.'!C10</f>
        <v>4420</v>
      </c>
      <c r="I11" s="199">
        <f>ДП!N13</f>
        <v>15079.392164207913</v>
      </c>
      <c r="J11" s="150">
        <f>(I11/H11)/(I14/H14)</f>
        <v>1.287151367047087</v>
      </c>
    </row>
    <row r="12" spans="1:10" ht="25.5" customHeight="1">
      <c r="A12" s="41" t="s">
        <v>123</v>
      </c>
      <c r="B12" s="92">
        <f>'субв от числ уточ'!C12</f>
        <v>2037</v>
      </c>
      <c r="C12" s="199">
        <f>+ДП!E14</f>
        <v>3771.2907734539112</v>
      </c>
      <c r="D12" s="150">
        <f>(C12/B12)/(C14/B14)</f>
        <v>0.7447518004588104</v>
      </c>
      <c r="E12" s="199">
        <f t="shared" si="0"/>
        <v>2037</v>
      </c>
      <c r="F12" s="199">
        <f>ДП!I14</f>
        <v>3981.6560358192655</v>
      </c>
      <c r="G12" s="150">
        <f>(F12/E12)/(F14/E14)</f>
        <v>0.7785311593632946</v>
      </c>
      <c r="H12" s="199">
        <f>'Коэф.масшт.'!C11</f>
        <v>2037</v>
      </c>
      <c r="I12" s="199">
        <f>ДП!N14</f>
        <v>4571.580348273546</v>
      </c>
      <c r="J12" s="150">
        <f>(I12/H12)/(I14/H14)</f>
        <v>0.8467269519179954</v>
      </c>
    </row>
    <row r="13" spans="1:10" ht="26.25" customHeight="1">
      <c r="A13" s="41" t="s">
        <v>124</v>
      </c>
      <c r="B13" s="92">
        <f>'субв от числ уточ'!C13</f>
        <v>3230</v>
      </c>
      <c r="C13" s="199">
        <f>+ДП!E15</f>
        <v>10063.608010449387</v>
      </c>
      <c r="D13" s="150">
        <f>(C13/B13)/(C14/B14)</f>
        <v>1.253325171470185</v>
      </c>
      <c r="E13" s="199">
        <f t="shared" si="0"/>
        <v>3230</v>
      </c>
      <c r="F13" s="199">
        <f>ДП!I15</f>
        <v>10063.608010449387</v>
      </c>
      <c r="G13" s="150">
        <f>(F13/E13)/(F14/E14)</f>
        <v>1.2409505564630354</v>
      </c>
      <c r="H13" s="199">
        <f>'Коэф.масшт.'!C12</f>
        <v>3230</v>
      </c>
      <c r="I13" s="199">
        <f>ДП!N15</f>
        <v>10370.53203577941</v>
      </c>
      <c r="J13" s="150">
        <f>(I13/H13)/(I14/H14)</f>
        <v>1.2113414292028517</v>
      </c>
    </row>
    <row r="14" spans="1:10" ht="18.75" customHeight="1">
      <c r="A14" s="44" t="s">
        <v>68</v>
      </c>
      <c r="B14" s="93">
        <f>SUM(B6:B13)</f>
        <v>30376</v>
      </c>
      <c r="C14" s="200">
        <f>SUM(C6:C13)</f>
        <v>75512.3545</v>
      </c>
      <c r="D14" s="200"/>
      <c r="E14" s="200">
        <f>SUM(E6:E13)</f>
        <v>30376</v>
      </c>
      <c r="F14" s="200">
        <f>SUM(F6:F13)</f>
        <v>76265.35494014987</v>
      </c>
      <c r="G14" s="200"/>
      <c r="H14" s="200">
        <f>SUM(H6:H13)</f>
        <v>30376</v>
      </c>
      <c r="I14" s="200">
        <f>SUM(I6:I13)</f>
        <v>80512.35470000001</v>
      </c>
      <c r="J14" s="200"/>
    </row>
    <row r="16" spans="1:3" ht="18.75" customHeight="1">
      <c r="A16" s="66"/>
      <c r="C16" s="151"/>
    </row>
  </sheetData>
  <sheetProtection/>
  <mergeCells count="5">
    <mergeCell ref="A2:J2"/>
    <mergeCell ref="E4:G4"/>
    <mergeCell ref="B4:D4"/>
    <mergeCell ref="H4:J4"/>
    <mergeCell ref="A4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2"/>
  <sheetViews>
    <sheetView zoomScalePageLayoutView="0" workbookViewId="0" topLeftCell="A1">
      <selection activeCell="D22" sqref="D22:F22"/>
    </sheetView>
  </sheetViews>
  <sheetFormatPr defaultColWidth="9.00390625" defaultRowHeight="12.75"/>
  <cols>
    <col min="1" max="1" width="5.625" style="37" customWidth="1"/>
    <col min="2" max="2" width="33.25390625" style="37" customWidth="1"/>
    <col min="3" max="3" width="12.75390625" style="65" customWidth="1"/>
    <col min="4" max="4" width="17.25390625" style="74" customWidth="1"/>
    <col min="5" max="6" width="17.25390625" style="37" customWidth="1"/>
    <col min="7" max="11" width="15.375" style="37" hidden="1" customWidth="1"/>
    <col min="12" max="13" width="0" style="37" hidden="1" customWidth="1"/>
    <col min="14" max="14" width="9.125" style="37" customWidth="1"/>
    <col min="15" max="16" width="12.00390625" style="37" bestFit="1" customWidth="1"/>
    <col min="17" max="17" width="17.75390625" style="37" customWidth="1"/>
    <col min="18" max="18" width="13.25390625" style="37" customWidth="1"/>
    <col min="19" max="19" width="20.125" style="37" customWidth="1"/>
    <col min="20" max="21" width="17.00390625" style="37" bestFit="1" customWidth="1"/>
    <col min="22" max="16384" width="9.125" style="37" customWidth="1"/>
  </cols>
  <sheetData>
    <row r="1" spans="3:6" s="15" customFormat="1" ht="15.75">
      <c r="C1" s="161"/>
      <c r="D1" s="106"/>
      <c r="F1" s="15" t="s">
        <v>147</v>
      </c>
    </row>
    <row r="2" spans="1:10" s="15" customFormat="1" ht="49.5" customHeight="1">
      <c r="A2" s="269" t="s">
        <v>173</v>
      </c>
      <c r="B2" s="269"/>
      <c r="C2" s="269"/>
      <c r="D2" s="269"/>
      <c r="E2" s="269"/>
      <c r="F2" s="269"/>
      <c r="G2" s="48"/>
      <c r="H2" s="48"/>
      <c r="I2" s="48"/>
      <c r="J2" s="48"/>
    </row>
    <row r="3" spans="1:4" ht="12.75">
      <c r="A3" s="153"/>
      <c r="B3" s="153"/>
      <c r="C3" s="154"/>
      <c r="D3" s="155"/>
    </row>
    <row r="5" spans="1:10" s="54" customFormat="1" ht="51.75" customHeight="1">
      <c r="A5" s="52" t="s">
        <v>0</v>
      </c>
      <c r="B5" s="52" t="s">
        <v>1</v>
      </c>
      <c r="C5" s="162" t="s">
        <v>12</v>
      </c>
      <c r="D5" s="163" t="s">
        <v>157</v>
      </c>
      <c r="E5" s="163" t="s">
        <v>161</v>
      </c>
      <c r="F5" s="163" t="s">
        <v>174</v>
      </c>
      <c r="G5" s="164"/>
      <c r="H5" s="164"/>
      <c r="I5" s="164"/>
      <c r="J5" s="164"/>
    </row>
    <row r="6" spans="1:22" ht="24" customHeight="1">
      <c r="A6" s="40">
        <v>1</v>
      </c>
      <c r="B6" s="41" t="s">
        <v>117</v>
      </c>
      <c r="C6" s="58">
        <f>+'Коэф.масшт.'!C5</f>
        <v>6095</v>
      </c>
      <c r="D6" s="198">
        <f>C6*(D14/C14)</f>
        <v>2601.9235160982353</v>
      </c>
      <c r="E6" s="198">
        <f>C6*(E14/C14)</f>
        <v>2863.9948717737684</v>
      </c>
      <c r="F6" s="198">
        <f>C6*(F14/C14)</f>
        <v>3150.4654900250193</v>
      </c>
      <c r="G6" s="157">
        <v>2297.61784</v>
      </c>
      <c r="H6" s="157">
        <f>+G6-D6</f>
        <v>-304.3056760982354</v>
      </c>
      <c r="I6" s="157">
        <v>2388.76688</v>
      </c>
      <c r="J6" s="157">
        <f>+I6-E6</f>
        <v>-475.2279917737683</v>
      </c>
      <c r="K6" s="157">
        <v>1951.50795</v>
      </c>
      <c r="L6" s="157">
        <f>+K6-F6</f>
        <v>-1198.9575400250194</v>
      </c>
      <c r="P6" s="158"/>
      <c r="Q6" s="158"/>
      <c r="R6" s="158"/>
      <c r="S6" s="184"/>
      <c r="T6" s="184"/>
      <c r="U6" s="184"/>
      <c r="V6" s="158"/>
    </row>
    <row r="7" spans="1:22" ht="24" customHeight="1">
      <c r="A7" s="40">
        <v>2</v>
      </c>
      <c r="B7" s="41" t="s">
        <v>118</v>
      </c>
      <c r="C7" s="58">
        <f>+'Коэф.масшт.'!C6</f>
        <v>5399</v>
      </c>
      <c r="D7" s="198">
        <f>C7*(D14/C14)</f>
        <v>2304.8047684026865</v>
      </c>
      <c r="E7" s="198">
        <f>C7*(E14/C14)</f>
        <v>2536.9496821503817</v>
      </c>
      <c r="F7" s="198">
        <f>C7*(F14/C14)</f>
        <v>2790.707658842507</v>
      </c>
      <c r="G7" s="157">
        <v>2059.88458</v>
      </c>
      <c r="H7" s="157">
        <f aca="true" t="shared" si="0" ref="H7:H14">+G7-D7</f>
        <v>-244.92018840268656</v>
      </c>
      <c r="I7" s="157">
        <v>2141.60248</v>
      </c>
      <c r="J7" s="157">
        <f aca="true" t="shared" si="1" ref="J7:J14">+I7-E7</f>
        <v>-395.3472021503817</v>
      </c>
      <c r="K7" s="157">
        <v>1749.58649</v>
      </c>
      <c r="L7" s="157">
        <f aca="true" t="shared" si="2" ref="L7:L14">+K7-F7</f>
        <v>-1041.1211688425071</v>
      </c>
      <c r="P7" s="158"/>
      <c r="Q7" s="158"/>
      <c r="R7" s="158"/>
      <c r="S7" s="184"/>
      <c r="T7" s="184"/>
      <c r="U7" s="184"/>
      <c r="V7" s="158"/>
    </row>
    <row r="8" spans="1:22" ht="24" customHeight="1">
      <c r="A8" s="40">
        <v>3</v>
      </c>
      <c r="B8" s="41" t="s">
        <v>119</v>
      </c>
      <c r="C8" s="58">
        <f>+'Коэф.масшт.'!C7</f>
        <v>3889</v>
      </c>
      <c r="D8" s="198">
        <f>C8*(D14/C14)-0.0005</f>
        <v>1660.1931922241242</v>
      </c>
      <c r="E8" s="198">
        <f>C8*(E14/C14)-0.0005</f>
        <v>1827.4114862720567</v>
      </c>
      <c r="F8" s="198">
        <f>C8*(F14/C14)</f>
        <v>2010.198571075849</v>
      </c>
      <c r="G8" s="157">
        <v>1473.31128</v>
      </c>
      <c r="H8" s="157">
        <f t="shared" si="0"/>
        <v>-186.88191222412433</v>
      </c>
      <c r="I8" s="157">
        <v>1531.75917</v>
      </c>
      <c r="J8" s="157">
        <f t="shared" si="1"/>
        <v>-295.6523162720566</v>
      </c>
      <c r="K8" s="157">
        <v>1251.37376</v>
      </c>
      <c r="L8" s="157">
        <f t="shared" si="2"/>
        <v>-758.8248110758491</v>
      </c>
      <c r="P8" s="158"/>
      <c r="Q8" s="158"/>
      <c r="R8" s="158"/>
      <c r="S8" s="184"/>
      <c r="T8" s="184"/>
      <c r="U8" s="184"/>
      <c r="V8" s="158"/>
    </row>
    <row r="9" spans="1:22" ht="24" customHeight="1">
      <c r="A9" s="40">
        <v>4</v>
      </c>
      <c r="B9" s="41" t="s">
        <v>120</v>
      </c>
      <c r="C9" s="58">
        <f>+'Коэф.масшт.'!C8</f>
        <v>1461</v>
      </c>
      <c r="D9" s="198">
        <f>C9*(D14/C14)</f>
        <v>623.6932333091914</v>
      </c>
      <c r="E9" s="198">
        <f>C9*(E14/C14)</f>
        <v>686.5129627008164</v>
      </c>
      <c r="F9" s="198">
        <f>C9*(F14/C14)</f>
        <v>755.1813094219119</v>
      </c>
      <c r="G9" s="157">
        <v>588.68962</v>
      </c>
      <c r="H9" s="157">
        <f t="shared" si="0"/>
        <v>-35.00361330919145</v>
      </c>
      <c r="I9" s="157">
        <v>612.04359</v>
      </c>
      <c r="J9" s="157">
        <f t="shared" si="1"/>
        <v>-74.4693727008164</v>
      </c>
      <c r="K9" s="157">
        <v>500.010249</v>
      </c>
      <c r="L9" s="157">
        <f t="shared" si="2"/>
        <v>-255.17106042191193</v>
      </c>
      <c r="P9" s="158"/>
      <c r="Q9" s="158"/>
      <c r="R9" s="158"/>
      <c r="S9" s="184"/>
      <c r="T9" s="184"/>
      <c r="U9" s="184"/>
      <c r="V9" s="158"/>
    </row>
    <row r="10" spans="1:22" ht="24" customHeight="1">
      <c r="A10" s="40">
        <v>5</v>
      </c>
      <c r="B10" s="41" t="s">
        <v>121</v>
      </c>
      <c r="C10" s="58">
        <f>+'Коэф.масшт.'!C9</f>
        <v>3845</v>
      </c>
      <c r="D10" s="198">
        <f>C10*(D14/C14)</f>
        <v>1641.4103231169345</v>
      </c>
      <c r="E10" s="198">
        <f>C10*(E14/C14)</f>
        <v>1806.7367156636817</v>
      </c>
      <c r="F10" s="198">
        <f>C10*(F14/C14)</f>
        <v>1987.4552599091385</v>
      </c>
      <c r="G10" s="157">
        <v>1475.07488</v>
      </c>
      <c r="H10" s="157">
        <f t="shared" si="0"/>
        <v>-166.33544311693458</v>
      </c>
      <c r="I10" s="157">
        <v>1533.59274</v>
      </c>
      <c r="J10" s="157">
        <f t="shared" si="1"/>
        <v>-273.14397566368166</v>
      </c>
      <c r="K10" s="157">
        <v>1252.8717</v>
      </c>
      <c r="L10" s="157">
        <f t="shared" si="2"/>
        <v>-734.5835599091386</v>
      </c>
      <c r="P10" s="158"/>
      <c r="Q10" s="158"/>
      <c r="R10" s="158"/>
      <c r="S10" s="184"/>
      <c r="T10" s="184"/>
      <c r="U10" s="184"/>
      <c r="V10" s="158"/>
    </row>
    <row r="11" spans="1:22" ht="24" customHeight="1">
      <c r="A11" s="40">
        <v>6</v>
      </c>
      <c r="B11" s="41" t="s">
        <v>122</v>
      </c>
      <c r="C11" s="58">
        <f>+'Коэф.масшт.'!C10</f>
        <v>4420</v>
      </c>
      <c r="D11" s="198">
        <f>C11*(D14/C14)</f>
        <v>1886.8748057677112</v>
      </c>
      <c r="E11" s="198">
        <f>C11*(E14/C14)</f>
        <v>2076.9249111140375</v>
      </c>
      <c r="F11" s="198">
        <f>C11*(F14/C14)</f>
        <v>2284.668985383197</v>
      </c>
      <c r="G11" s="157">
        <v>1707.16462</v>
      </c>
      <c r="H11" s="157">
        <f t="shared" si="0"/>
        <v>-179.7101857677112</v>
      </c>
      <c r="I11" s="157">
        <v>1774.88973</v>
      </c>
      <c r="J11" s="157">
        <f t="shared" si="1"/>
        <v>-302.0351811140374</v>
      </c>
      <c r="K11" s="157">
        <v>1449.99976</v>
      </c>
      <c r="L11" s="157">
        <f t="shared" si="2"/>
        <v>-834.6692253831973</v>
      </c>
      <c r="P11" s="158"/>
      <c r="Q11" s="158"/>
      <c r="R11" s="158"/>
      <c r="S11" s="184"/>
      <c r="T11" s="184"/>
      <c r="U11" s="184"/>
      <c r="V11" s="158"/>
    </row>
    <row r="12" spans="1:22" ht="24" customHeight="1">
      <c r="A12" s="40">
        <v>7</v>
      </c>
      <c r="B12" s="41" t="s">
        <v>123</v>
      </c>
      <c r="C12" s="58">
        <f>+'Коэф.масшт.'!C11</f>
        <v>2037</v>
      </c>
      <c r="D12" s="198">
        <f>C12*(D14/C14)</f>
        <v>869.5846107124045</v>
      </c>
      <c r="E12" s="198">
        <f>C12*(E14/C14)</f>
        <v>957.1710506649987</v>
      </c>
      <c r="F12" s="198">
        <f>C12*(F14/C14)</f>
        <v>1052.9119283315774</v>
      </c>
      <c r="G12" s="157">
        <v>801.02703</v>
      </c>
      <c r="H12" s="157">
        <f t="shared" si="0"/>
        <v>-68.5575807124045</v>
      </c>
      <c r="I12" s="157">
        <v>832.80466</v>
      </c>
      <c r="J12" s="157">
        <f t="shared" si="1"/>
        <v>-124.36639066499868</v>
      </c>
      <c r="K12" s="157">
        <v>680.361459</v>
      </c>
      <c r="L12" s="157">
        <f t="shared" si="2"/>
        <v>-372.55046933157746</v>
      </c>
      <c r="P12" s="158"/>
      <c r="Q12" s="158"/>
      <c r="R12" s="158"/>
      <c r="S12" s="184"/>
      <c r="T12" s="184"/>
      <c r="U12" s="184"/>
      <c r="V12" s="158"/>
    </row>
    <row r="13" spans="1:22" ht="24" customHeight="1">
      <c r="A13" s="40">
        <v>8</v>
      </c>
      <c r="B13" s="41" t="s">
        <v>124</v>
      </c>
      <c r="C13" s="58">
        <f>+'Коэф.масшт.'!C12</f>
        <v>3230</v>
      </c>
      <c r="D13" s="198">
        <f>C13*(D14/C14)</f>
        <v>1378.870050368712</v>
      </c>
      <c r="E13" s="198">
        <f>C13*(E14/C14)</f>
        <v>1517.752819660258</v>
      </c>
      <c r="F13" s="198">
        <f>C13*(F14/C14)</f>
        <v>1669.5657970107977</v>
      </c>
      <c r="G13" s="157">
        <v>1242.98515</v>
      </c>
      <c r="H13" s="157">
        <f t="shared" si="0"/>
        <v>-135.88490036871212</v>
      </c>
      <c r="I13" s="157">
        <v>1292.29575</v>
      </c>
      <c r="J13" s="157">
        <f t="shared" si="1"/>
        <v>-225.45706966025796</v>
      </c>
      <c r="K13" s="157">
        <v>1055.74363</v>
      </c>
      <c r="L13" s="157">
        <f t="shared" si="2"/>
        <v>-613.8221670107978</v>
      </c>
      <c r="P13" s="158"/>
      <c r="Q13" s="158"/>
      <c r="R13" s="158"/>
      <c r="S13" s="184"/>
      <c r="T13" s="184"/>
      <c r="U13" s="184"/>
      <c r="V13" s="158"/>
    </row>
    <row r="14" spans="1:22" ht="24" customHeight="1">
      <c r="A14" s="40"/>
      <c r="B14" s="44" t="s">
        <v>14</v>
      </c>
      <c r="C14" s="45">
        <f>SUM(C6:C13)</f>
        <v>30376</v>
      </c>
      <c r="D14" s="81">
        <f>12970.6-2.95-0.295</f>
        <v>12967.355</v>
      </c>
      <c r="E14" s="81">
        <f>14276.7-2.95-0.295</f>
        <v>14273.455</v>
      </c>
      <c r="F14" s="81">
        <f>15704.4-2.95-0.295</f>
        <v>15701.154999999999</v>
      </c>
      <c r="G14" s="160">
        <f>SUM(G6:G13)</f>
        <v>11645.755</v>
      </c>
      <c r="H14" s="157">
        <f t="shared" si="0"/>
        <v>-1321.6000000000004</v>
      </c>
      <c r="I14" s="160">
        <f>SUM(I6:I13)</f>
        <v>12107.755000000001</v>
      </c>
      <c r="J14" s="157">
        <f t="shared" si="1"/>
        <v>-2165.699999999999</v>
      </c>
      <c r="K14" s="160">
        <f>SUM(K6:K13)</f>
        <v>9891.454997999997</v>
      </c>
      <c r="L14" s="157">
        <f t="shared" si="2"/>
        <v>-5809.700002000001</v>
      </c>
      <c r="P14" s="158"/>
      <c r="Q14" s="158"/>
      <c r="R14" s="158"/>
      <c r="S14" s="184"/>
      <c r="T14" s="184"/>
      <c r="U14" s="184"/>
      <c r="V14" s="158"/>
    </row>
    <row r="15" spans="2:21" ht="12.75">
      <c r="B15" s="39"/>
      <c r="D15" s="151"/>
      <c r="P15" s="209"/>
      <c r="Q15" s="209"/>
      <c r="R15" s="209"/>
      <c r="S15" s="184"/>
      <c r="T15" s="184"/>
      <c r="U15" s="184"/>
    </row>
    <row r="16" spans="2:6" ht="12.75" hidden="1">
      <c r="B16" s="39"/>
      <c r="D16" s="159">
        <f>SUM(D6:D13)</f>
        <v>12967.3545</v>
      </c>
      <c r="E16" s="159">
        <f>SUM(E6:E13)</f>
        <v>14273.454499999998</v>
      </c>
      <c r="F16" s="159">
        <f>SUM(F6:F13)</f>
        <v>15701.154999999999</v>
      </c>
    </row>
    <row r="17" spans="2:6" ht="12.75" hidden="1">
      <c r="B17" s="39"/>
      <c r="C17" s="39"/>
      <c r="D17" s="159">
        <f>2.95+0.295</f>
        <v>3.245</v>
      </c>
      <c r="E17" s="159">
        <f>2.95+0.295</f>
        <v>3.245</v>
      </c>
      <c r="F17" s="159">
        <f>2.95+0.295</f>
        <v>3.245</v>
      </c>
    </row>
    <row r="18" ht="12.75" hidden="1"/>
    <row r="19" spans="4:6" ht="12.75" hidden="1">
      <c r="D19" s="159">
        <f>+D14+D17</f>
        <v>12970.6</v>
      </c>
      <c r="E19" s="159">
        <f>+E14+E17</f>
        <v>14276.7</v>
      </c>
      <c r="F19" s="159">
        <f>+F14+F17</f>
        <v>15704.4</v>
      </c>
    </row>
    <row r="20" spans="4:6" ht="12.75" hidden="1">
      <c r="D20" s="159">
        <f>+D16+D17</f>
        <v>12970.5995</v>
      </c>
      <c r="E20" s="159">
        <f>+E16+E17</f>
        <v>14276.699499999999</v>
      </c>
      <c r="F20" s="159">
        <f>+F16+F17</f>
        <v>15704.4</v>
      </c>
    </row>
    <row r="21" ht="12.75" hidden="1"/>
    <row r="22" spans="4:6" ht="12.75">
      <c r="D22" s="209"/>
      <c r="E22" s="209"/>
      <c r="F22" s="209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Пользователь</cp:lastModifiedBy>
  <cp:lastPrinted>2022-11-23T09:34:00Z</cp:lastPrinted>
  <dcterms:created xsi:type="dcterms:W3CDTF">2005-11-18T06:27:58Z</dcterms:created>
  <dcterms:modified xsi:type="dcterms:W3CDTF">2022-11-23T09:34:04Z</dcterms:modified>
  <cp:category/>
  <cp:version/>
  <cp:contentType/>
  <cp:contentStatus/>
</cp:coreProperties>
</file>